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X:\03_事業者支援Ｇ\01_中小企業等の支援（事業者支援G）\04_中小企業省エネルギー設備導入費補助金\01_例規（中小企業省エネルギー設備導入費補助金）\04_その他資料（算定シート等）\"/>
    </mc:Choice>
  </mc:AlternateContent>
  <xr:revisionPtr revIDLastSave="0" documentId="13_ncr:1_{7BC67D76-4F9D-480C-8F64-1E0020CE7EDE}" xr6:coauthVersionLast="47" xr6:coauthVersionMax="47" xr10:uidLastSave="{00000000-0000-0000-0000-000000000000}"/>
  <workbookProtection workbookAlgorithmName="SHA-512" workbookHashValue="qsfvd21srSpBTBSuVqcHQ0nszBq6o7KDKcACXsO+tQvflWpS2Y3UQN9XPnh9fsilZvvPx6gDeYnimufCNCS49w==" workbookSaltValue="XJCQbqoDrrGn2EEIqnqVDw==" workbookSpinCount="100000" lockStructure="1"/>
  <bookViews>
    <workbookView xWindow="-120" yWindow="-120" windowWidth="29040" windowHeight="15720" activeTab="2" xr2:uid="{00000000-000D-0000-FFFF-FFFF00000000}"/>
  </bookViews>
  <sheets>
    <sheet name="エネルギー使用量" sheetId="1" r:id="rId1"/>
    <sheet name="照明" sheetId="2" r:id="rId2"/>
    <sheet name="空調" sheetId="4" r:id="rId3"/>
    <sheet name="ボイラー・給湯器" sheetId="5" r:id="rId4"/>
    <sheet name="コンプレッサー" sheetId="7" r:id="rId5"/>
    <sheet name="変圧器" sheetId="8" r:id="rId6"/>
    <sheet name="冷凍冷蔵庫" sheetId="25" r:id="rId7"/>
    <sheet name="ショーケース、ユニットクーラ、冷凍冷蔵ユニット" sheetId="26" r:id="rId8"/>
    <sheet name="その他" sheetId="6" r:id="rId9"/>
    <sheet name="以下は非表示シート→" sheetId="28" state="hidden" r:id="rId10"/>
    <sheet name="係数" sheetId="9" state="hidden" r:id="rId11"/>
    <sheet name="負荷率計算(冷凍冷蔵)" sheetId="27" state="hidden" r:id="rId12"/>
    <sheet name="モーター効率" sheetId="10" state="hidden" r:id="rId13"/>
    <sheet name="空調kcal換算" sheetId="11" state="hidden" r:id="rId14"/>
    <sheet name="出典資料" sheetId="16" state="hidden" r:id="rId15"/>
    <sheet name="更新・修正記録" sheetId="23" state="hidden" r:id="rId16"/>
  </sheets>
  <definedNames>
    <definedName name="_xlnm._FilterDatabase" localSheetId="15" hidden="1">更新・修正記録!$B$2:$H$16</definedName>
    <definedName name="_xlnm._FilterDatabase" localSheetId="1" hidden="1">照明!$B$19:$Y$19</definedName>
    <definedName name="haishutukeisuu" localSheetId="7" hidden="1">{"'第２表'!$W$27:$AA$68"}</definedName>
    <definedName name="haishutukeisuu" localSheetId="6" hidden="1">{"'第２表'!$W$27:$AA$68"}</definedName>
    <definedName name="haishutukeisuu" hidden="1">{"'第２表'!$W$27:$AA$68"}</definedName>
    <definedName name="HTML_CodePage" hidden="1">932</definedName>
    <definedName name="HTML_Control" localSheetId="7" hidden="1">{"'第２表'!$W$27:$AA$68"}</definedName>
    <definedName name="HTML_Control" localSheetId="6" hidden="1">{"'第２表'!$W$27:$AA$68"}</definedName>
    <definedName name="HTML_Control" hidden="1">{"'第２表'!$W$27:$AA$68"}</definedName>
    <definedName name="HTML_Description" hidden="1">""</definedName>
    <definedName name="HTML_Email" hidden="1">""</definedName>
    <definedName name="HTML_Header" hidden="1">"第１表印刷用"</definedName>
    <definedName name="HTML_LastUpdate" hidden="1">"平成 11/08/04 (水)"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"N:\速報作業中\MyHTMLg.htm"</definedName>
    <definedName name="HTML_PathTemplate" hidden="1">"N:\速報作業中\MyHTMLg.htm"</definedName>
    <definedName name="HTML_Title" hidden="1">"10FYｿｸﾎｰ"</definedName>
    <definedName name="lpu" localSheetId="7" hidden="1">{"'第２表'!$W$27:$AA$68"}</definedName>
    <definedName name="lpu" localSheetId="6" hidden="1">{"'第２表'!$W$27:$AA$68"}</definedName>
    <definedName name="lpu" hidden="1">{"'第２表'!$W$27:$AA$68"}</definedName>
    <definedName name="pps推移" localSheetId="7" hidden="1">{"'第２表'!$W$27:$AA$68"}</definedName>
    <definedName name="pps推移" localSheetId="6" hidden="1">{"'第２表'!$W$27:$AA$68"}</definedName>
    <definedName name="pps推移" hidden="1">{"'第２表'!$W$27:$AA$68"}</definedName>
    <definedName name="_xlnm.Print_Area" localSheetId="0">エネルギー使用量!$A$1:$U$40</definedName>
    <definedName name="_xlnm.Print_Area" localSheetId="4">コンプレッサー!$A$1:$AH$29</definedName>
    <definedName name="_xlnm.Print_Area" localSheetId="7">'ショーケース、ユニットクーラ、冷凍冷蔵ユニット'!$A$1:$AG$33</definedName>
    <definedName name="_xlnm.Print_Area" localSheetId="8">その他!$A$1:$AA$38</definedName>
    <definedName name="_xlnm.Print_Area" localSheetId="3">ボイラー・給湯器!$A$1:$AK$32</definedName>
    <definedName name="_xlnm.Print_Area" localSheetId="2">空調!$A$1:$AO$42</definedName>
    <definedName name="_xlnm.Print_Area" localSheetId="1">照明!$A$1:$Y$120</definedName>
    <definedName name="_xlnm.Print_Area" localSheetId="5">変圧器!$A$1:$AC$31</definedName>
    <definedName name="_xlnm.Print_Area" localSheetId="6">冷凍冷蔵庫!$A$1:$AH$33</definedName>
    <definedName name="_xlnm.Print_Titles" localSheetId="2">空調!$A:$B</definedName>
    <definedName name="_xlnm.Print_Titles" localSheetId="1">照明!$A:$B,照明!$1:$19</definedName>
    <definedName name="rangeIE1">モーター効率!$B$2:$B$32</definedName>
    <definedName name="rangeIE2">モーター効率!$B$33:$B$63</definedName>
    <definedName name="rangeIE3">モーター効率!$B$64:$B$94</definedName>
    <definedName name="rangeIE4">モーター効率!$B$95:$B$118</definedName>
    <definedName name="空調家庭用">#REF!</definedName>
    <definedName name="空調業務用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3" i="4" l="1"/>
  <c r="K25" i="25" a="1"/>
  <c r="K25" i="25" s="1"/>
  <c r="K26" i="25" a="1"/>
  <c r="K26" i="25" s="1"/>
  <c r="K27" i="25" a="1"/>
  <c r="K27" i="25" s="1"/>
  <c r="K28" i="25" a="1"/>
  <c r="K28" i="25"/>
  <c r="K29" i="25" a="1"/>
  <c r="K29" i="25" s="1"/>
  <c r="K30" i="25" a="1"/>
  <c r="K30" i="25" s="1"/>
  <c r="K31" i="25" a="1"/>
  <c r="K31" i="25" s="1"/>
  <c r="K32" i="25" a="1"/>
  <c r="K32" i="25" s="1"/>
  <c r="K33" i="25" a="1"/>
  <c r="K33" i="25" s="1"/>
  <c r="X8" i="7" l="1"/>
  <c r="X7" i="7"/>
  <c r="AF21" i="5"/>
  <c r="AB42" i="7"/>
  <c r="AB41" i="7"/>
  <c r="AB40" i="7"/>
  <c r="AB29" i="7"/>
  <c r="AB28" i="7"/>
  <c r="AB27" i="7"/>
  <c r="AB26" i="7"/>
  <c r="AB25" i="7"/>
  <c r="AB24" i="7"/>
  <c r="AB23" i="7"/>
  <c r="AB22" i="7"/>
  <c r="O42" i="7"/>
  <c r="O41" i="7"/>
  <c r="O40" i="7"/>
  <c r="O22" i="7"/>
  <c r="O23" i="7"/>
  <c r="O24" i="7"/>
  <c r="O25" i="7"/>
  <c r="O26" i="7"/>
  <c r="O27" i="7"/>
  <c r="O28" i="7"/>
  <c r="O29" i="7"/>
  <c r="L7" i="7" l="1"/>
  <c r="J50" i="26"/>
  <c r="J49" i="26"/>
  <c r="J48" i="26"/>
  <c r="J25" i="26"/>
  <c r="J26" i="26"/>
  <c r="J27" i="26"/>
  <c r="J28" i="26"/>
  <c r="J29" i="26"/>
  <c r="J30" i="26"/>
  <c r="J31" i="26"/>
  <c r="J32" i="26"/>
  <c r="J33" i="26"/>
  <c r="J24" i="26"/>
  <c r="K21" i="5" l="1"/>
  <c r="U40" i="8"/>
  <c r="T40" i="8"/>
  <c r="V30" i="2"/>
  <c r="AI46" i="5"/>
  <c r="AF46" i="5"/>
  <c r="R46" i="5"/>
  <c r="Q46" i="5"/>
  <c r="V50" i="25"/>
  <c r="V49" i="25"/>
  <c r="U47" i="25"/>
  <c r="T47" i="25"/>
  <c r="U23" i="25"/>
  <c r="F5" i="25" s="1"/>
  <c r="T23" i="25"/>
  <c r="S47" i="25"/>
  <c r="R47" i="25"/>
  <c r="J47" i="25"/>
  <c r="I47" i="25"/>
  <c r="J23" i="25"/>
  <c r="I23" i="25"/>
  <c r="H47" i="25"/>
  <c r="G47" i="25"/>
  <c r="V48" i="25"/>
  <c r="M50" i="25"/>
  <c r="O50" i="25" s="1"/>
  <c r="M49" i="25"/>
  <c r="O49" i="25" s="1"/>
  <c r="X49" i="25"/>
  <c r="X48" i="25"/>
  <c r="X27" i="25"/>
  <c r="X28" i="25"/>
  <c r="X29" i="25"/>
  <c r="X30" i="25"/>
  <c r="X31" i="25"/>
  <c r="X32" i="25"/>
  <c r="X33" i="25"/>
  <c r="K50" i="25" a="1"/>
  <c r="K50" i="25" s="1"/>
  <c r="K49" i="25" a="1"/>
  <c r="K49" i="25" s="1"/>
  <c r="K48" i="25" a="1"/>
  <c r="K48" i="25" s="1"/>
  <c r="M48" i="25" s="1"/>
  <c r="O48" i="25" s="1"/>
  <c r="Q5" i="11"/>
  <c r="Q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4" i="11"/>
  <c r="K5" i="11"/>
  <c r="K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4" i="11"/>
  <c r="P23" i="5"/>
  <c r="AE24" i="5"/>
  <c r="AE25" i="5"/>
  <c r="AE26" i="5"/>
  <c r="AE27" i="5"/>
  <c r="AE28" i="5"/>
  <c r="AE29" i="5"/>
  <c r="AE30" i="5"/>
  <c r="AE31" i="5"/>
  <c r="AE32" i="5"/>
  <c r="AB21" i="5"/>
  <c r="AC51" i="5"/>
  <c r="AC50" i="5"/>
  <c r="AC49" i="5"/>
  <c r="AC48" i="5"/>
  <c r="AC47" i="5"/>
  <c r="L51" i="5"/>
  <c r="L50" i="5"/>
  <c r="L49" i="5"/>
  <c r="L48" i="5"/>
  <c r="L47" i="5"/>
  <c r="L24" i="5"/>
  <c r="L25" i="5"/>
  <c r="L26" i="5"/>
  <c r="L27" i="5"/>
  <c r="L28" i="5"/>
  <c r="L29" i="5"/>
  <c r="L30" i="5"/>
  <c r="L31" i="5"/>
  <c r="L32" i="5"/>
  <c r="L23" i="5"/>
  <c r="F39" i="7"/>
  <c r="U39" i="7"/>
  <c r="U19" i="7"/>
  <c r="F19" i="7"/>
  <c r="G9" i="6"/>
  <c r="F9" i="6"/>
  <c r="E9" i="6"/>
  <c r="X19" i="6" s="1"/>
  <c r="L47" i="26"/>
  <c r="K47" i="26"/>
  <c r="W47" i="26"/>
  <c r="V47" i="26"/>
  <c r="S23" i="25"/>
  <c r="R23" i="25"/>
  <c r="X24" i="26" a="1"/>
  <c r="X24" i="26" s="1"/>
  <c r="Y24" i="26" s="1"/>
  <c r="M33" i="26" a="1"/>
  <c r="M33" i="26" s="1"/>
  <c r="M32" i="26" a="1"/>
  <c r="M32" i="26" s="1"/>
  <c r="M31" i="26" a="1"/>
  <c r="M31" i="26" s="1"/>
  <c r="M30" i="26" a="1"/>
  <c r="M30" i="26" s="1"/>
  <c r="M29" i="26" a="1"/>
  <c r="M29" i="26" s="1"/>
  <c r="M28" i="26" a="1"/>
  <c r="M28" i="26" s="1"/>
  <c r="M27" i="26" a="1"/>
  <c r="M27" i="26" s="1"/>
  <c r="M26" i="26" a="1"/>
  <c r="M26" i="26" s="1"/>
  <c r="M25" i="26" a="1"/>
  <c r="M25" i="26" s="1"/>
  <c r="M24" i="26" a="1"/>
  <c r="M24" i="26" s="1"/>
  <c r="W23" i="26"/>
  <c r="V23" i="26"/>
  <c r="L23" i="26"/>
  <c r="K23" i="26"/>
  <c r="X29" i="6" l="1"/>
  <c r="X30" i="6"/>
  <c r="X27" i="6"/>
  <c r="X26" i="6"/>
  <c r="X25" i="6"/>
  <c r="X36" i="6"/>
  <c r="X24" i="6"/>
  <c r="X23" i="6"/>
  <c r="X34" i="6"/>
  <c r="X22" i="6"/>
  <c r="X33" i="6"/>
  <c r="X21" i="6"/>
  <c r="X28" i="6"/>
  <c r="X18" i="6"/>
  <c r="X37" i="6"/>
  <c r="X35" i="6"/>
  <c r="X32" i="6"/>
  <c r="X20" i="6"/>
  <c r="X31" i="6"/>
  <c r="U8" i="26"/>
  <c r="W7" i="26" l="1"/>
  <c r="U3" i="26"/>
  <c r="AY62" i="4" l="1"/>
  <c r="AY61" i="4"/>
  <c r="AY60" i="4"/>
  <c r="AY59" i="4"/>
  <c r="AU62" i="4"/>
  <c r="AU61" i="4"/>
  <c r="AU60" i="4"/>
  <c r="AU59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Y23" i="4"/>
  <c r="AJ23" i="4" s="1"/>
  <c r="AU24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E26" i="1"/>
  <c r="E25" i="1"/>
  <c r="E24" i="1"/>
  <c r="E23" i="1"/>
  <c r="E22" i="1"/>
  <c r="E21" i="1"/>
  <c r="E7" i="1"/>
  <c r="E8" i="1"/>
  <c r="E9" i="1"/>
  <c r="E10" i="1"/>
  <c r="E11" i="1"/>
  <c r="E6" i="1"/>
  <c r="J10" i="1"/>
  <c r="J11" i="1"/>
  <c r="J9" i="1"/>
  <c r="I10" i="1"/>
  <c r="I11" i="1"/>
  <c r="I9" i="1"/>
  <c r="J7" i="1"/>
  <c r="J8" i="1"/>
  <c r="J6" i="1"/>
  <c r="I7" i="1"/>
  <c r="I8" i="1"/>
  <c r="I6" i="1"/>
  <c r="AP51" i="5"/>
  <c r="AP50" i="5"/>
  <c r="AP49" i="5"/>
  <c r="AP48" i="5"/>
  <c r="AP47" i="5"/>
  <c r="AT51" i="5"/>
  <c r="AT50" i="5"/>
  <c r="AT49" i="5"/>
  <c r="AT48" i="5"/>
  <c r="AT47" i="5"/>
  <c r="AV51" i="5"/>
  <c r="AV50" i="5"/>
  <c r="AV49" i="5"/>
  <c r="AV48" i="5"/>
  <c r="AV47" i="5"/>
  <c r="AR51" i="5"/>
  <c r="Q51" i="5" s="1"/>
  <c r="AR50" i="5"/>
  <c r="Q50" i="5" s="1"/>
  <c r="AR49" i="5"/>
  <c r="AR48" i="5"/>
  <c r="Q48" i="5" s="1"/>
  <c r="AR47" i="5"/>
  <c r="Q47" i="5" s="1"/>
  <c r="Q24" i="5"/>
  <c r="Q25" i="5"/>
  <c r="Q26" i="5"/>
  <c r="Q27" i="5"/>
  <c r="Q28" i="5"/>
  <c r="Q29" i="5"/>
  <c r="Q30" i="5"/>
  <c r="Q31" i="5"/>
  <c r="Q32" i="5"/>
  <c r="AV24" i="5"/>
  <c r="AV25" i="5"/>
  <c r="AV26" i="5"/>
  <c r="AV27" i="5"/>
  <c r="AV28" i="5"/>
  <c r="AV29" i="5"/>
  <c r="AV30" i="5"/>
  <c r="AV31" i="5"/>
  <c r="AV32" i="5"/>
  <c r="AV23" i="5"/>
  <c r="AR32" i="5"/>
  <c r="AR31" i="5"/>
  <c r="AR30" i="5"/>
  <c r="AR29" i="5"/>
  <c r="AR28" i="5"/>
  <c r="AR27" i="5"/>
  <c r="AR26" i="5"/>
  <c r="AR25" i="5"/>
  <c r="AR24" i="5"/>
  <c r="AR23" i="5"/>
  <c r="Q23" i="5" s="1"/>
  <c r="AE23" i="5" s="1"/>
  <c r="AC24" i="5"/>
  <c r="AC25" i="5"/>
  <c r="AC26" i="5"/>
  <c r="AC27" i="5"/>
  <c r="AC28" i="5"/>
  <c r="AC29" i="5"/>
  <c r="AC30" i="5"/>
  <c r="AC31" i="5"/>
  <c r="AC32" i="5"/>
  <c r="AC23" i="5"/>
  <c r="E24" i="9"/>
  <c r="I17" i="9"/>
  <c r="Q22" i="5" l="1"/>
  <c r="M42" i="8"/>
  <c r="M41" i="8"/>
  <c r="X42" i="8"/>
  <c r="X41" i="8"/>
  <c r="X22" i="8"/>
  <c r="X23" i="8"/>
  <c r="X24" i="8"/>
  <c r="X25" i="8"/>
  <c r="X26" i="8"/>
  <c r="X27" i="8"/>
  <c r="X28" i="8"/>
  <c r="X29" i="8"/>
  <c r="X30" i="8"/>
  <c r="X21" i="8"/>
  <c r="V22" i="8"/>
  <c r="V23" i="8"/>
  <c r="V24" i="8"/>
  <c r="V25" i="8"/>
  <c r="V26" i="8"/>
  <c r="V27" i="8"/>
  <c r="V28" i="8"/>
  <c r="V29" i="8"/>
  <c r="V30" i="8"/>
  <c r="V21" i="8"/>
  <c r="M22" i="8"/>
  <c r="M23" i="8"/>
  <c r="M24" i="8"/>
  <c r="M25" i="8"/>
  <c r="M26" i="8"/>
  <c r="M27" i="8"/>
  <c r="M28" i="8"/>
  <c r="M29" i="8"/>
  <c r="M30" i="8"/>
  <c r="M21" i="8"/>
  <c r="L7" i="27" l="1"/>
  <c r="L8" i="27"/>
  <c r="L9" i="27"/>
  <c r="L10" i="27"/>
  <c r="L11" i="27"/>
  <c r="L12" i="27"/>
  <c r="L13" i="27"/>
  <c r="L14" i="27"/>
  <c r="L6" i="27"/>
  <c r="L29" i="27"/>
  <c r="L26" i="27"/>
  <c r="L23" i="27"/>
  <c r="L20" i="27"/>
  <c r="L19" i="27"/>
  <c r="L21" i="27"/>
  <c r="L22" i="27"/>
  <c r="L24" i="27"/>
  <c r="L25" i="27"/>
  <c r="L27" i="27"/>
  <c r="L28" i="27"/>
  <c r="L18" i="27"/>
  <c r="K47" i="25"/>
  <c r="U47" i="26"/>
  <c r="H47" i="26"/>
  <c r="B43" i="26"/>
  <c r="U23" i="26"/>
  <c r="H23" i="26"/>
  <c r="B19" i="26"/>
  <c r="X50" i="25"/>
  <c r="Y49" i="25"/>
  <c r="Q47" i="25"/>
  <c r="E47" i="25"/>
  <c r="B43" i="25"/>
  <c r="V33" i="25"/>
  <c r="M33" i="25"/>
  <c r="O33" i="25" s="1"/>
  <c r="V32" i="25"/>
  <c r="M32" i="25"/>
  <c r="O32" i="25" s="1"/>
  <c r="V31" i="25"/>
  <c r="M31" i="25"/>
  <c r="O31" i="25" s="1"/>
  <c r="V30" i="25"/>
  <c r="M30" i="25"/>
  <c r="O30" i="25" s="1"/>
  <c r="V29" i="25"/>
  <c r="M29" i="25"/>
  <c r="O29" i="25" s="1"/>
  <c r="V28" i="25"/>
  <c r="M28" i="25"/>
  <c r="O28" i="25" s="1"/>
  <c r="V27" i="25"/>
  <c r="M27" i="25"/>
  <c r="O27" i="25" s="1"/>
  <c r="V26" i="25"/>
  <c r="X26" i="25" s="1"/>
  <c r="M26" i="25"/>
  <c r="O26" i="25" s="1"/>
  <c r="V25" i="25"/>
  <c r="X25" i="25" s="1"/>
  <c r="M25" i="25"/>
  <c r="O25" i="25" s="1"/>
  <c r="V24" i="25"/>
  <c r="X24" i="25" s="1"/>
  <c r="K24" i="25" a="1"/>
  <c r="K24" i="25" s="1"/>
  <c r="M24" i="25" s="1"/>
  <c r="O24" i="25" s="1"/>
  <c r="Q23" i="25"/>
  <c r="H23" i="25"/>
  <c r="U8" i="25" s="1"/>
  <c r="G23" i="25"/>
  <c r="T8" i="25" s="1"/>
  <c r="E23" i="25"/>
  <c r="B19" i="25"/>
  <c r="AA49" i="25" l="1"/>
  <c r="V7" i="25"/>
  <c r="R3" i="25"/>
  <c r="M50" i="26" a="1"/>
  <c r="M50" i="26" s="1"/>
  <c r="O50" i="26" s="1"/>
  <c r="Q50" i="26" s="1"/>
  <c r="X30" i="26" a="1"/>
  <c r="X30" i="26" s="1"/>
  <c r="X26" i="26" a="1"/>
  <c r="X26" i="26" s="1"/>
  <c r="X25" i="26" a="1"/>
  <c r="X25" i="26" s="1"/>
  <c r="Y25" i="26" s="1"/>
  <c r="X27" i="26" a="1"/>
  <c r="X27" i="26" s="1"/>
  <c r="X28" i="26" a="1"/>
  <c r="X28" i="26" s="1"/>
  <c r="M48" i="26" a="1"/>
  <c r="M48" i="26" s="1"/>
  <c r="O48" i="26" s="1"/>
  <c r="M49" i="26" a="1"/>
  <c r="M49" i="26" s="1"/>
  <c r="O49" i="26" s="1"/>
  <c r="Q49" i="26" s="1"/>
  <c r="O25" i="26"/>
  <c r="Q25" i="26" s="1"/>
  <c r="X33" i="26" a="1"/>
  <c r="X33" i="26" s="1"/>
  <c r="X49" i="26" a="1"/>
  <c r="X49" i="26" s="1"/>
  <c r="Y49" i="26" s="1"/>
  <c r="AA49" i="26" s="1"/>
  <c r="X32" i="26" a="1"/>
  <c r="X32" i="26" s="1"/>
  <c r="X50" i="26" a="1"/>
  <c r="X50" i="26" s="1"/>
  <c r="Y50" i="26" s="1"/>
  <c r="X31" i="26" a="1"/>
  <c r="X31" i="26" s="1"/>
  <c r="X48" i="26" a="1"/>
  <c r="X48" i="26" s="1"/>
  <c r="Y48" i="26" s="1"/>
  <c r="X29" i="26" a="1"/>
  <c r="X29" i="26" s="1"/>
  <c r="O24" i="26"/>
  <c r="O31" i="26"/>
  <c r="O30" i="26"/>
  <c r="O29" i="26"/>
  <c r="O26" i="26"/>
  <c r="O33" i="26"/>
  <c r="O28" i="26"/>
  <c r="O27" i="26"/>
  <c r="O32" i="26"/>
  <c r="X47" i="25"/>
  <c r="Y29" i="25"/>
  <c r="AA29" i="25"/>
  <c r="Y33" i="25"/>
  <c r="AA33" i="25"/>
  <c r="AA25" i="25"/>
  <c r="Y25" i="25"/>
  <c r="AA26" i="25"/>
  <c r="Y26" i="25"/>
  <c r="Y30" i="25"/>
  <c r="AA30" i="25"/>
  <c r="AA48" i="25"/>
  <c r="Y31" i="25"/>
  <c r="AA31" i="25"/>
  <c r="AA27" i="25"/>
  <c r="Y27" i="25"/>
  <c r="Y32" i="25"/>
  <c r="AA32" i="25"/>
  <c r="K23" i="25"/>
  <c r="Y28" i="25"/>
  <c r="AA28" i="25"/>
  <c r="V23" i="25"/>
  <c r="V47" i="25"/>
  <c r="Y48" i="25"/>
  <c r="AA50" i="25"/>
  <c r="Y50" i="25"/>
  <c r="M47" i="25"/>
  <c r="Y31" i="26" l="1"/>
  <c r="AA31" i="26" s="1"/>
  <c r="Y32" i="26"/>
  <c r="AA32" i="26" s="1"/>
  <c r="Y33" i="26"/>
  <c r="AB33" i="26" s="1"/>
  <c r="Y28" i="26"/>
  <c r="AB28" i="26" s="1"/>
  <c r="Y29" i="26"/>
  <c r="AA29" i="26" s="1"/>
  <c r="Y27" i="26"/>
  <c r="AA27" i="26" s="1"/>
  <c r="AA25" i="26"/>
  <c r="AD25" i="26" s="1"/>
  <c r="Y26" i="26"/>
  <c r="AB26" i="26" s="1"/>
  <c r="Y30" i="26"/>
  <c r="AA30" i="26" s="1"/>
  <c r="Q48" i="26"/>
  <c r="Q47" i="26" s="1"/>
  <c r="AA48" i="26"/>
  <c r="AA50" i="26"/>
  <c r="AD50" i="26" s="1"/>
  <c r="Y47" i="26"/>
  <c r="AB48" i="26"/>
  <c r="O47" i="26"/>
  <c r="Q27" i="26"/>
  <c r="Q28" i="26"/>
  <c r="Q33" i="26"/>
  <c r="Q29" i="26"/>
  <c r="Q31" i="26"/>
  <c r="Q30" i="26"/>
  <c r="Q24" i="26"/>
  <c r="Q26" i="26"/>
  <c r="AB49" i="26"/>
  <c r="AB50" i="26"/>
  <c r="AD49" i="26"/>
  <c r="O47" i="25"/>
  <c r="M23" i="25"/>
  <c r="E5" i="25" s="1"/>
  <c r="Y24" i="25"/>
  <c r="Y23" i="25" s="1"/>
  <c r="G5" i="25" s="1"/>
  <c r="AA47" i="25"/>
  <c r="Y47" i="25"/>
  <c r="X23" i="25"/>
  <c r="F7" i="25" s="1"/>
  <c r="AB31" i="26" l="1"/>
  <c r="AB32" i="26"/>
  <c r="AB30" i="26"/>
  <c r="AB25" i="26"/>
  <c r="AB29" i="26"/>
  <c r="AD31" i="26"/>
  <c r="AB27" i="26"/>
  <c r="AD29" i="26"/>
  <c r="AA28" i="26"/>
  <c r="AD28" i="26" s="1"/>
  <c r="AA33" i="26"/>
  <c r="AD33" i="26" s="1"/>
  <c r="AD30" i="26"/>
  <c r="AD27" i="26"/>
  <c r="AA26" i="26"/>
  <c r="AD26" i="26" s="1"/>
  <c r="AA47" i="26"/>
  <c r="AD48" i="26"/>
  <c r="AD47" i="26" s="1"/>
  <c r="Q32" i="26"/>
  <c r="AD32" i="26" s="1"/>
  <c r="O23" i="26"/>
  <c r="AB47" i="26"/>
  <c r="O23" i="25"/>
  <c r="E7" i="25" s="1"/>
  <c r="AA24" i="25"/>
  <c r="AA23" i="25" s="1"/>
  <c r="G7" i="25" s="1"/>
  <c r="K21" i="1" l="1"/>
  <c r="E5" i="26"/>
  <c r="Q23" i="26"/>
  <c r="E7" i="26" s="1"/>
  <c r="G23" i="1" l="1"/>
  <c r="B16" i="8" l="1"/>
  <c r="B15" i="7"/>
  <c r="B18" i="5"/>
  <c r="B17" i="4"/>
  <c r="B16" i="2"/>
  <c r="B53" i="4"/>
  <c r="AM51" i="5"/>
  <c r="AM50" i="5"/>
  <c r="AM49" i="5"/>
  <c r="AM48" i="5"/>
  <c r="AM47" i="5"/>
  <c r="AM32" i="5"/>
  <c r="AM31" i="5"/>
  <c r="AM30" i="5"/>
  <c r="AM29" i="5"/>
  <c r="AM28" i="5"/>
  <c r="AM27" i="5"/>
  <c r="AM26" i="5"/>
  <c r="AM25" i="5"/>
  <c r="AM24" i="5"/>
  <c r="AM23" i="5"/>
  <c r="J48" i="4" l="1"/>
  <c r="S62" i="4"/>
  <c r="S61" i="4"/>
  <c r="S60" i="4"/>
  <c r="S59" i="4"/>
  <c r="M60" i="4"/>
  <c r="M59" i="4"/>
  <c r="AW62" i="4"/>
  <c r="AZ62" i="4" s="1"/>
  <c r="AS62" i="4"/>
  <c r="AV62" i="4" s="1"/>
  <c r="AQ62" i="4"/>
  <c r="AR62" i="4" s="1"/>
  <c r="AW61" i="4"/>
  <c r="AX61" i="4" s="1"/>
  <c r="AI61" i="4" s="1"/>
  <c r="AS61" i="4"/>
  <c r="AT61" i="4" s="1"/>
  <c r="U61" i="4" s="1"/>
  <c r="AQ61" i="4"/>
  <c r="AR61" i="4" s="1"/>
  <c r="AW60" i="4"/>
  <c r="AZ60" i="4" s="1"/>
  <c r="AS60" i="4"/>
  <c r="AV60" i="4" s="1"/>
  <c r="AQ60" i="4"/>
  <c r="AR60" i="4" s="1"/>
  <c r="AW59" i="4"/>
  <c r="AX59" i="4" s="1"/>
  <c r="AI59" i="4" s="1"/>
  <c r="AS59" i="4"/>
  <c r="AV59" i="4" s="1"/>
  <c r="AQ59" i="4"/>
  <c r="AR59" i="4" s="1"/>
  <c r="S29" i="4"/>
  <c r="S25" i="4"/>
  <c r="S24" i="4"/>
  <c r="S2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8" i="4"/>
  <c r="S27" i="4"/>
  <c r="S26" i="4"/>
  <c r="M24" i="4"/>
  <c r="M25" i="4"/>
  <c r="M26" i="4"/>
  <c r="M27" i="4"/>
  <c r="M28" i="4"/>
  <c r="M29" i="4"/>
  <c r="M30" i="4"/>
  <c r="M31" i="4"/>
  <c r="M32" i="4"/>
  <c r="AH32" i="4" s="1"/>
  <c r="M33" i="4"/>
  <c r="AH33" i="4" s="1"/>
  <c r="M34" i="4"/>
  <c r="AH34" i="4" s="1"/>
  <c r="M35" i="4"/>
  <c r="M36" i="4"/>
  <c r="M37" i="4"/>
  <c r="M38" i="4"/>
  <c r="M39" i="4"/>
  <c r="AH39" i="4" s="1"/>
  <c r="M40" i="4"/>
  <c r="M41" i="4"/>
  <c r="M42" i="4"/>
  <c r="AW24" i="4"/>
  <c r="AX24" i="4" s="1"/>
  <c r="AW25" i="4"/>
  <c r="AX25" i="4" s="1"/>
  <c r="AI25" i="4" s="1"/>
  <c r="AW26" i="4"/>
  <c r="AZ26" i="4" s="1"/>
  <c r="AW27" i="4"/>
  <c r="AW28" i="4"/>
  <c r="AX28" i="4" s="1"/>
  <c r="AI28" i="4" s="1"/>
  <c r="AW29" i="4"/>
  <c r="AW30" i="4"/>
  <c r="AX30" i="4" s="1"/>
  <c r="AI30" i="4" s="1"/>
  <c r="AW31" i="4"/>
  <c r="AX31" i="4" s="1"/>
  <c r="AW32" i="4"/>
  <c r="AX32" i="4" s="1"/>
  <c r="AI32" i="4" s="1"/>
  <c r="AW33" i="4"/>
  <c r="AX33" i="4" s="1"/>
  <c r="AI33" i="4" s="1"/>
  <c r="AZ33" i="4"/>
  <c r="AW34" i="4"/>
  <c r="AW35" i="4"/>
  <c r="AW36" i="4"/>
  <c r="AW37" i="4"/>
  <c r="AX37" i="4" s="1"/>
  <c r="AI37" i="4" s="1"/>
  <c r="AW38" i="4"/>
  <c r="AW39" i="4"/>
  <c r="AW40" i="4"/>
  <c r="AX40" i="4" s="1"/>
  <c r="AI40" i="4" s="1"/>
  <c r="AW41" i="4"/>
  <c r="AW42" i="4"/>
  <c r="AX42" i="4" s="1"/>
  <c r="AI42" i="4" s="1"/>
  <c r="AW23" i="4"/>
  <c r="AX23" i="4" s="1"/>
  <c r="AS24" i="4"/>
  <c r="AV24" i="4" s="1"/>
  <c r="AS25" i="4"/>
  <c r="AU25" i="4" s="1"/>
  <c r="AS26" i="4"/>
  <c r="AT26" i="4" s="1"/>
  <c r="AS27" i="4"/>
  <c r="AV27" i="4" s="1"/>
  <c r="AS28" i="4"/>
  <c r="AV28" i="4" s="1"/>
  <c r="AS29" i="4"/>
  <c r="AT29" i="4" s="1"/>
  <c r="AS30" i="4"/>
  <c r="AT30" i="4" s="1"/>
  <c r="U30" i="4" s="1"/>
  <c r="AS31" i="4"/>
  <c r="AT31" i="4" s="1"/>
  <c r="AS32" i="4"/>
  <c r="AS33" i="4"/>
  <c r="AS34" i="4"/>
  <c r="AS35" i="4"/>
  <c r="AS36" i="4"/>
  <c r="AT36" i="4" s="1"/>
  <c r="AS37" i="4"/>
  <c r="AT37" i="4" s="1"/>
  <c r="AS38" i="4"/>
  <c r="AT38" i="4" s="1"/>
  <c r="U38" i="4" s="1"/>
  <c r="AS39" i="4"/>
  <c r="AV39" i="4" s="1"/>
  <c r="AS40" i="4"/>
  <c r="AT40" i="4" s="1"/>
  <c r="U40" i="4" s="1"/>
  <c r="AS41" i="4"/>
  <c r="AV41" i="4" s="1"/>
  <c r="AS42" i="4"/>
  <c r="AV42" i="4" s="1"/>
  <c r="AS23" i="4"/>
  <c r="AQ24" i="4"/>
  <c r="AR24" i="4" s="1"/>
  <c r="AQ25" i="4"/>
  <c r="AR25" i="4" s="1"/>
  <c r="AQ26" i="4"/>
  <c r="AR26" i="4" s="1"/>
  <c r="T26" i="4" s="1"/>
  <c r="AQ27" i="4"/>
  <c r="AR27" i="4" s="1"/>
  <c r="AQ28" i="4"/>
  <c r="AR28" i="4" s="1"/>
  <c r="AQ29" i="4"/>
  <c r="AR29" i="4" s="1"/>
  <c r="AQ30" i="4"/>
  <c r="AR30" i="4" s="1"/>
  <c r="AQ31" i="4"/>
  <c r="AR31" i="4" s="1"/>
  <c r="AQ32" i="4"/>
  <c r="AR32" i="4" s="1"/>
  <c r="AQ33" i="4"/>
  <c r="AR33" i="4" s="1"/>
  <c r="AQ34" i="4"/>
  <c r="AR34" i="4" s="1"/>
  <c r="AQ35" i="4"/>
  <c r="AR35" i="4" s="1"/>
  <c r="AQ36" i="4"/>
  <c r="AR36" i="4" s="1"/>
  <c r="AQ37" i="4"/>
  <c r="AR37" i="4" s="1"/>
  <c r="AQ38" i="4"/>
  <c r="AR38" i="4" s="1"/>
  <c r="AQ39" i="4"/>
  <c r="AR39" i="4" s="1"/>
  <c r="T39" i="4" s="1"/>
  <c r="AQ40" i="4"/>
  <c r="AR40" i="4" s="1"/>
  <c r="T40" i="4" s="1"/>
  <c r="AQ41" i="4"/>
  <c r="AR41" i="4" s="1"/>
  <c r="AQ42" i="4"/>
  <c r="AR42" i="4" s="1"/>
  <c r="AQ23" i="4"/>
  <c r="AR23" i="4" s="1"/>
  <c r="AV23" i="4" l="1"/>
  <c r="AU23" i="4"/>
  <c r="AV34" i="4"/>
  <c r="T29" i="4"/>
  <c r="AX41" i="4"/>
  <c r="AZ25" i="4"/>
  <c r="AH31" i="4"/>
  <c r="AH29" i="4"/>
  <c r="AH25" i="4"/>
  <c r="AK25" i="4" s="1"/>
  <c r="AX39" i="4"/>
  <c r="AI39" i="4" s="1"/>
  <c r="AX27" i="4"/>
  <c r="AI27" i="4" s="1"/>
  <c r="AH38" i="4"/>
  <c r="AH40" i="4"/>
  <c r="AH26" i="4"/>
  <c r="T31" i="4"/>
  <c r="AH36" i="4"/>
  <c r="AH27" i="4"/>
  <c r="AH42" i="4"/>
  <c r="AX26" i="4"/>
  <c r="AI26" i="4" s="1"/>
  <c r="AH35" i="4"/>
  <c r="AH28" i="4"/>
  <c r="AH62" i="4"/>
  <c r="AH30" i="4"/>
  <c r="T60" i="4"/>
  <c r="AH61" i="4"/>
  <c r="AM61" i="4"/>
  <c r="AH24" i="4"/>
  <c r="T33" i="4"/>
  <c r="T32" i="4"/>
  <c r="AH37" i="4"/>
  <c r="AH41" i="4"/>
  <c r="T27" i="4"/>
  <c r="T62" i="4"/>
  <c r="T25" i="4"/>
  <c r="T61" i="4"/>
  <c r="T42" i="4"/>
  <c r="T24" i="4"/>
  <c r="AH23" i="4"/>
  <c r="AI31" i="4"/>
  <c r="T23" i="4"/>
  <c r="T41" i="4"/>
  <c r="AH59" i="4"/>
  <c r="T28" i="4"/>
  <c r="AH60" i="4"/>
  <c r="AX38" i="4"/>
  <c r="AI38" i="4" s="1"/>
  <c r="T59" i="4"/>
  <c r="T38" i="4"/>
  <c r="T30" i="4"/>
  <c r="T37" i="4"/>
  <c r="U31" i="4"/>
  <c r="AI41" i="4"/>
  <c r="T35" i="4"/>
  <c r="U29" i="4"/>
  <c r="AZ32" i="4"/>
  <c r="AK32" i="4" s="1"/>
  <c r="AI24" i="4"/>
  <c r="AZ61" i="4"/>
  <c r="U26" i="4"/>
  <c r="AZ38" i="4"/>
  <c r="AI23" i="4"/>
  <c r="AZ23" i="4"/>
  <c r="AZ59" i="4"/>
  <c r="AX62" i="4"/>
  <c r="AI62" i="4" s="1"/>
  <c r="AV61" i="4"/>
  <c r="AT60" i="4"/>
  <c r="U60" i="4" s="1"/>
  <c r="AT59" i="4"/>
  <c r="U59" i="4" s="1"/>
  <c r="AX60" i="4"/>
  <c r="AI60" i="4" s="1"/>
  <c r="AT62" i="4"/>
  <c r="U62" i="4" s="1"/>
  <c r="AK33" i="4"/>
  <c r="U36" i="4"/>
  <c r="T36" i="4"/>
  <c r="U37" i="4"/>
  <c r="T34" i="4"/>
  <c r="AT33" i="4"/>
  <c r="U33" i="4" s="1"/>
  <c r="AZ42" i="4"/>
  <c r="AZ37" i="4"/>
  <c r="AZ30" i="4"/>
  <c r="AZ24" i="4"/>
  <c r="AX35" i="4"/>
  <c r="AI35" i="4" s="1"/>
  <c r="AZ28" i="4"/>
  <c r="AZ40" i="4"/>
  <c r="AV32" i="4"/>
  <c r="AX29" i="4"/>
  <c r="AI29" i="4" s="1"/>
  <c r="AT34" i="4"/>
  <c r="U34" i="4" s="1"/>
  <c r="AX36" i="4"/>
  <c r="AI36" i="4" s="1"/>
  <c r="AZ31" i="4"/>
  <c r="AT28" i="4"/>
  <c r="U28" i="4" s="1"/>
  <c r="AZ39" i="4"/>
  <c r="AZ35" i="4"/>
  <c r="AT27" i="4"/>
  <c r="U27" i="4" s="1"/>
  <c r="AZ36" i="4"/>
  <c r="AZ29" i="4"/>
  <c r="AX34" i="4"/>
  <c r="AI34" i="4" s="1"/>
  <c r="AZ41" i="4"/>
  <c r="AZ34" i="4"/>
  <c r="AZ27" i="4"/>
  <c r="AT42" i="4"/>
  <c r="U42" i="4" s="1"/>
  <c r="AT41" i="4"/>
  <c r="U41" i="4" s="1"/>
  <c r="AT35" i="4"/>
  <c r="U35" i="4" s="1"/>
  <c r="AV37" i="4"/>
  <c r="AV36" i="4"/>
  <c r="AV31" i="4"/>
  <c r="AV35" i="4"/>
  <c r="AV33" i="4"/>
  <c r="AT23" i="4"/>
  <c r="U23" i="4" s="1"/>
  <c r="AT24" i="4"/>
  <c r="U24" i="4" s="1"/>
  <c r="AV30" i="4"/>
  <c r="AV29" i="4"/>
  <c r="AT39" i="4"/>
  <c r="U39" i="4" s="1"/>
  <c r="AT25" i="4"/>
  <c r="U25" i="4" s="1"/>
  <c r="G22" i="1" s="1"/>
  <c r="AV40" i="4"/>
  <c r="W40" i="4" s="1"/>
  <c r="AV26" i="4"/>
  <c r="AV25" i="4"/>
  <c r="AV38" i="4"/>
  <c r="AT32" i="4"/>
  <c r="U32" i="4" s="1"/>
  <c r="W42" i="4" l="1"/>
  <c r="AK40" i="4"/>
  <c r="AL59" i="4"/>
  <c r="AK26" i="4"/>
  <c r="W29" i="4"/>
  <c r="AK31" i="4"/>
  <c r="AK42" i="4"/>
  <c r="AK39" i="4"/>
  <c r="AK28" i="4"/>
  <c r="AK27" i="4"/>
  <c r="AL60" i="4"/>
  <c r="AK30" i="4"/>
  <c r="AK41" i="4"/>
  <c r="W38" i="4"/>
  <c r="AK37" i="4"/>
  <c r="AK62" i="4"/>
  <c r="W62" i="4"/>
  <c r="AO62" i="4" s="1"/>
  <c r="AK61" i="4"/>
  <c r="W61" i="4"/>
  <c r="W27" i="4"/>
  <c r="AL23" i="4"/>
  <c r="AL62" i="4"/>
  <c r="AK38" i="4"/>
  <c r="AL61" i="4"/>
  <c r="AM60" i="4"/>
  <c r="W35" i="4"/>
  <c r="W26" i="4"/>
  <c r="AK59" i="4"/>
  <c r="W41" i="4"/>
  <c r="W59" i="4"/>
  <c r="W28" i="4"/>
  <c r="W60" i="4"/>
  <c r="W32" i="4"/>
  <c r="AK60" i="4"/>
  <c r="AO60" i="4" s="1"/>
  <c r="AM62" i="4"/>
  <c r="AM59" i="4"/>
  <c r="W31" i="4"/>
  <c r="W30" i="4"/>
  <c r="AK24" i="4"/>
  <c r="AK23" i="4"/>
  <c r="W39" i="4"/>
  <c r="W33" i="4"/>
  <c r="W24" i="4"/>
  <c r="AK35" i="4"/>
  <c r="W23" i="4"/>
  <c r="AK34" i="4"/>
  <c r="W25" i="4"/>
  <c r="AK36" i="4"/>
  <c r="AK29" i="4"/>
  <c r="W37" i="4"/>
  <c r="AM23" i="4"/>
  <c r="W34" i="4"/>
  <c r="W36" i="4"/>
  <c r="AO59" i="4" l="1"/>
  <c r="AO61" i="4"/>
  <c r="AO23" i="4"/>
  <c r="J21" i="2" l="1"/>
  <c r="K21" i="2" s="1"/>
  <c r="M21" i="2" s="1"/>
  <c r="AI51" i="5" l="1"/>
  <c r="AI50" i="5"/>
  <c r="P25" i="5"/>
  <c r="P24" i="5"/>
  <c r="AD23" i="5"/>
  <c r="H26" i="1"/>
  <c r="F9" i="1"/>
  <c r="F10" i="1"/>
  <c r="F11" i="1"/>
  <c r="G9" i="1" l="1"/>
  <c r="G10" i="1"/>
  <c r="G11" i="1"/>
  <c r="D26" i="1"/>
  <c r="S22" i="2"/>
  <c r="S21" i="2"/>
  <c r="J22" i="2"/>
  <c r="K22" i="2" s="1"/>
  <c r="M22" i="2" s="1"/>
  <c r="J23" i="2"/>
  <c r="K23" i="2" s="1"/>
  <c r="M23" i="2"/>
  <c r="J24" i="2"/>
  <c r="K24" i="2" s="1"/>
  <c r="J25" i="2"/>
  <c r="K25" i="2" s="1"/>
  <c r="J26" i="2"/>
  <c r="K26" i="2" s="1"/>
  <c r="J27" i="2"/>
  <c r="K27" i="2"/>
  <c r="M27" i="2" s="1"/>
  <c r="J28" i="2"/>
  <c r="K28" i="2"/>
  <c r="J29" i="2"/>
  <c r="K29" i="2" s="1"/>
  <c r="J30" i="2"/>
  <c r="K30" i="2" s="1"/>
  <c r="M30" i="2" s="1"/>
  <c r="J31" i="2"/>
  <c r="K31" i="2" s="1"/>
  <c r="J32" i="2"/>
  <c r="K32" i="2" s="1"/>
  <c r="J33" i="2"/>
  <c r="K33" i="2" s="1"/>
  <c r="J34" i="2"/>
  <c r="K34" i="2" s="1"/>
  <c r="J35" i="2"/>
  <c r="K35" i="2" s="1"/>
  <c r="J36" i="2"/>
  <c r="K36" i="2" s="1"/>
  <c r="M36" i="2" s="1"/>
  <c r="J37" i="2"/>
  <c r="K37" i="2" s="1"/>
  <c r="M37" i="2"/>
  <c r="J38" i="2"/>
  <c r="K38" i="2" s="1"/>
  <c r="J39" i="2"/>
  <c r="K39" i="2" s="1"/>
  <c r="J40" i="2"/>
  <c r="K40" i="2" s="1"/>
  <c r="J41" i="2"/>
  <c r="K41" i="2"/>
  <c r="M41" i="2" s="1"/>
  <c r="J42" i="2"/>
  <c r="K42" i="2"/>
  <c r="M42" i="2"/>
  <c r="J43" i="2"/>
  <c r="K43" i="2" s="1"/>
  <c r="M43" i="2" s="1"/>
  <c r="J44" i="2"/>
  <c r="K44" i="2" s="1"/>
  <c r="M44" i="2"/>
  <c r="J45" i="2"/>
  <c r="K45" i="2" s="1"/>
  <c r="M45" i="2" s="1"/>
  <c r="J46" i="2"/>
  <c r="K46" i="2" s="1"/>
  <c r="J47" i="2"/>
  <c r="K47" i="2" s="1"/>
  <c r="J48" i="2"/>
  <c r="K48" i="2" s="1"/>
  <c r="J49" i="2"/>
  <c r="K49" i="2"/>
  <c r="J50" i="2"/>
  <c r="K50" i="2" s="1"/>
  <c r="M50" i="2" s="1"/>
  <c r="J51" i="2"/>
  <c r="K51" i="2" s="1"/>
  <c r="M51" i="2"/>
  <c r="J52" i="2"/>
  <c r="K52" i="2" s="1"/>
  <c r="J53" i="2"/>
  <c r="K53" i="2"/>
  <c r="J54" i="2"/>
  <c r="K54" i="2" s="1"/>
  <c r="J55" i="2"/>
  <c r="K55" i="2" s="1"/>
  <c r="J56" i="2"/>
  <c r="K56" i="2" s="1"/>
  <c r="M56" i="2" s="1"/>
  <c r="J57" i="2"/>
  <c r="K57" i="2" s="1"/>
  <c r="J58" i="2"/>
  <c r="K58" i="2" s="1"/>
  <c r="M58" i="2"/>
  <c r="J59" i="2"/>
  <c r="K59" i="2" s="1"/>
  <c r="J60" i="2"/>
  <c r="K60" i="2"/>
  <c r="J61" i="2"/>
  <c r="K61" i="2" s="1"/>
  <c r="J62" i="2"/>
  <c r="K62" i="2"/>
  <c r="J63" i="2"/>
  <c r="K63" i="2" s="1"/>
  <c r="J64" i="2"/>
  <c r="K64" i="2" s="1"/>
  <c r="M64" i="2" s="1"/>
  <c r="J65" i="2"/>
  <c r="K65" i="2" s="1"/>
  <c r="M65" i="2" s="1"/>
  <c r="J66" i="2"/>
  <c r="K66" i="2" s="1"/>
  <c r="J67" i="2"/>
  <c r="K67" i="2" s="1"/>
  <c r="J68" i="2"/>
  <c r="K68" i="2" s="1"/>
  <c r="J69" i="2"/>
  <c r="K69" i="2" s="1"/>
  <c r="J70" i="2"/>
  <c r="K70" i="2"/>
  <c r="M70" i="2"/>
  <c r="J71" i="2"/>
  <c r="K71" i="2" s="1"/>
  <c r="M71" i="2" s="1"/>
  <c r="J72" i="2"/>
  <c r="K72" i="2" s="1"/>
  <c r="M72" i="2"/>
  <c r="J73" i="2"/>
  <c r="K73" i="2" s="1"/>
  <c r="M73" i="2"/>
  <c r="J74" i="2"/>
  <c r="K74" i="2"/>
  <c r="J75" i="2"/>
  <c r="K75" i="2" s="1"/>
  <c r="J76" i="2"/>
  <c r="K76" i="2"/>
  <c r="M76" i="2" s="1"/>
  <c r="J77" i="2"/>
  <c r="K77" i="2"/>
  <c r="J78" i="2"/>
  <c r="K78" i="2" s="1"/>
  <c r="J79" i="2"/>
  <c r="K79" i="2" s="1"/>
  <c r="J80" i="2"/>
  <c r="K80" i="2" s="1"/>
  <c r="J81" i="2"/>
  <c r="K81" i="2" s="1"/>
  <c r="J82" i="2"/>
  <c r="K82" i="2" s="1"/>
  <c r="J83" i="2"/>
  <c r="K83" i="2" s="1"/>
  <c r="J84" i="2"/>
  <c r="K84" i="2" s="1"/>
  <c r="M84" i="2" s="1"/>
  <c r="J85" i="2"/>
  <c r="K85" i="2"/>
  <c r="M85" i="2"/>
  <c r="J86" i="2"/>
  <c r="K86" i="2" s="1"/>
  <c r="M86" i="2" s="1"/>
  <c r="J87" i="2"/>
  <c r="K87" i="2" s="1"/>
  <c r="J88" i="2"/>
  <c r="K88" i="2" s="1"/>
  <c r="J89" i="2"/>
  <c r="K89" i="2" s="1"/>
  <c r="J90" i="2"/>
  <c r="K90" i="2" s="1"/>
  <c r="J91" i="2"/>
  <c r="K91" i="2"/>
  <c r="J92" i="2"/>
  <c r="K92" i="2" s="1"/>
  <c r="M92" i="2" s="1"/>
  <c r="J93" i="2"/>
  <c r="K93" i="2" s="1"/>
  <c r="M93" i="2"/>
  <c r="J94" i="2"/>
  <c r="K94" i="2" s="1"/>
  <c r="M94" i="2"/>
  <c r="J95" i="2"/>
  <c r="K95" i="2"/>
  <c r="J96" i="2"/>
  <c r="K96" i="2" s="1"/>
  <c r="J97" i="2"/>
  <c r="K97" i="2"/>
  <c r="M97" i="2" s="1"/>
  <c r="J98" i="2"/>
  <c r="K98" i="2"/>
  <c r="J99" i="2"/>
  <c r="K99" i="2" s="1"/>
  <c r="J100" i="2"/>
  <c r="K100" i="2" s="1"/>
  <c r="J101" i="2"/>
  <c r="K101" i="2" s="1"/>
  <c r="M101" i="2"/>
  <c r="J102" i="2"/>
  <c r="K102" i="2"/>
  <c r="J103" i="2"/>
  <c r="K103" i="2" s="1"/>
  <c r="J104" i="2"/>
  <c r="K104" i="2" s="1"/>
  <c r="J105" i="2"/>
  <c r="K105" i="2" s="1"/>
  <c r="M105" i="2" s="1"/>
  <c r="J106" i="2"/>
  <c r="K106" i="2" s="1"/>
  <c r="M106" i="2" s="1"/>
  <c r="J107" i="2"/>
  <c r="K107" i="2" s="1"/>
  <c r="J108" i="2"/>
  <c r="K108" i="2" s="1"/>
  <c r="J109" i="2"/>
  <c r="K109" i="2" s="1"/>
  <c r="J110" i="2"/>
  <c r="K110" i="2" s="1"/>
  <c r="J111" i="2"/>
  <c r="K111" i="2"/>
  <c r="J112" i="2"/>
  <c r="K112" i="2"/>
  <c r="J113" i="2"/>
  <c r="K113" i="2" s="1"/>
  <c r="M113" i="2" s="1"/>
  <c r="J114" i="2"/>
  <c r="K114" i="2" s="1"/>
  <c r="J115" i="2"/>
  <c r="K115" i="2" s="1"/>
  <c r="M115" i="2" s="1"/>
  <c r="J116" i="2"/>
  <c r="K116" i="2" s="1"/>
  <c r="J117" i="2"/>
  <c r="K117" i="2" s="1"/>
  <c r="J118" i="2"/>
  <c r="K118" i="2" s="1"/>
  <c r="M118" i="2" s="1"/>
  <c r="J119" i="2"/>
  <c r="K119" i="2" s="1"/>
  <c r="J120" i="2"/>
  <c r="K120" i="2" s="1"/>
  <c r="M120" i="2" s="1"/>
  <c r="J121" i="2"/>
  <c r="K121" i="2" s="1"/>
  <c r="J122" i="2"/>
  <c r="K122" i="2" s="1"/>
  <c r="J123" i="2"/>
  <c r="K123" i="2" s="1"/>
  <c r="J124" i="2"/>
  <c r="K124" i="2" s="1"/>
  <c r="J125" i="2"/>
  <c r="K125" i="2" s="1"/>
  <c r="J126" i="2"/>
  <c r="K126" i="2" s="1"/>
  <c r="M126" i="2" s="1"/>
  <c r="J127" i="2"/>
  <c r="K127" i="2" s="1"/>
  <c r="M127" i="2" s="1"/>
  <c r="J128" i="2"/>
  <c r="K128" i="2" s="1"/>
  <c r="M128" i="2"/>
  <c r="J129" i="2"/>
  <c r="K129" i="2" s="1"/>
  <c r="M129" i="2"/>
  <c r="J130" i="2"/>
  <c r="K130" i="2" s="1"/>
  <c r="J131" i="2"/>
  <c r="K131" i="2" s="1"/>
  <c r="M131" i="2" s="1"/>
  <c r="J132" i="2"/>
  <c r="K132" i="2" s="1"/>
  <c r="M132" i="2" s="1"/>
  <c r="J133" i="2"/>
  <c r="K133" i="2" s="1"/>
  <c r="M133" i="2"/>
  <c r="J134" i="2"/>
  <c r="K134" i="2" s="1"/>
  <c r="M134" i="2" s="1"/>
  <c r="J135" i="2"/>
  <c r="K135" i="2" s="1"/>
  <c r="J136" i="2"/>
  <c r="K136" i="2" s="1"/>
  <c r="J137" i="2"/>
  <c r="K137" i="2"/>
  <c r="J138" i="2"/>
  <c r="K138" i="2" s="1"/>
  <c r="J139" i="2"/>
  <c r="K139" i="2" s="1"/>
  <c r="J140" i="2"/>
  <c r="K140" i="2"/>
  <c r="J141" i="2"/>
  <c r="K141" i="2" s="1"/>
  <c r="M141" i="2" s="1"/>
  <c r="J142" i="2"/>
  <c r="K142" i="2" s="1"/>
  <c r="J143" i="2"/>
  <c r="K143" i="2" s="1"/>
  <c r="J144" i="2"/>
  <c r="K144" i="2"/>
  <c r="J145" i="2"/>
  <c r="K145" i="2" s="1"/>
  <c r="M145" i="2" s="1"/>
  <c r="J146" i="2"/>
  <c r="K146" i="2" s="1"/>
  <c r="M146" i="2" s="1"/>
  <c r="J147" i="2"/>
  <c r="K147" i="2" s="1"/>
  <c r="J148" i="2"/>
  <c r="K148" i="2" s="1"/>
  <c r="J149" i="2"/>
  <c r="K149" i="2" s="1"/>
  <c r="M149" i="2"/>
  <c r="J150" i="2"/>
  <c r="K150" i="2" s="1"/>
  <c r="M150" i="2" s="1"/>
  <c r="J151" i="2"/>
  <c r="K151" i="2" s="1"/>
  <c r="J152" i="2"/>
  <c r="K152" i="2" s="1"/>
  <c r="M152" i="2" s="1"/>
  <c r="J153" i="2"/>
  <c r="K153" i="2"/>
  <c r="M153" i="2" s="1"/>
  <c r="J154" i="2"/>
  <c r="K154" i="2"/>
  <c r="J155" i="2"/>
  <c r="K155" i="2" s="1"/>
  <c r="M155" i="2" s="1"/>
  <c r="J156" i="2"/>
  <c r="K156" i="2" s="1"/>
  <c r="M156" i="2"/>
  <c r="J157" i="2"/>
  <c r="K157" i="2" s="1"/>
  <c r="M157" i="2" s="1"/>
  <c r="J158" i="2"/>
  <c r="K158" i="2"/>
  <c r="J159" i="2"/>
  <c r="K159" i="2" s="1"/>
  <c r="M159" i="2" s="1"/>
  <c r="J160" i="2"/>
  <c r="K160" i="2"/>
  <c r="M160" i="2" s="1"/>
  <c r="J161" i="2"/>
  <c r="K161" i="2" s="1"/>
  <c r="J162" i="2"/>
  <c r="K162" i="2" s="1"/>
  <c r="M162" i="2" s="1"/>
  <c r="J163" i="2"/>
  <c r="K163" i="2" s="1"/>
  <c r="M163" i="2"/>
  <c r="J164" i="2"/>
  <c r="K164" i="2" s="1"/>
  <c r="M164" i="2"/>
  <c r="J165" i="2"/>
  <c r="K165" i="2"/>
  <c r="J166" i="2"/>
  <c r="K166" i="2" s="1"/>
  <c r="J167" i="2"/>
  <c r="K167" i="2" s="1"/>
  <c r="J168" i="2"/>
  <c r="K168" i="2" s="1"/>
  <c r="J169" i="2"/>
  <c r="K169" i="2" s="1"/>
  <c r="M169" i="2" s="1"/>
  <c r="J170" i="2"/>
  <c r="K170" i="2" s="1"/>
  <c r="M170" i="2"/>
  <c r="J171" i="2"/>
  <c r="K171" i="2" s="1"/>
  <c r="J172" i="2"/>
  <c r="K172" i="2" s="1"/>
  <c r="J173" i="2"/>
  <c r="K173" i="2" s="1"/>
  <c r="J174" i="2"/>
  <c r="K174" i="2" s="1"/>
  <c r="J175" i="2"/>
  <c r="K175" i="2" s="1"/>
  <c r="J176" i="2"/>
  <c r="K176" i="2" s="1"/>
  <c r="J177" i="2"/>
  <c r="K177" i="2" s="1"/>
  <c r="J178" i="2"/>
  <c r="K178" i="2" s="1"/>
  <c r="M178" i="2"/>
  <c r="J179" i="2"/>
  <c r="K179" i="2" s="1"/>
  <c r="J180" i="2"/>
  <c r="K180" i="2" s="1"/>
  <c r="M180" i="2" s="1"/>
  <c r="J181" i="2"/>
  <c r="K181" i="2" s="1"/>
  <c r="J182" i="2"/>
  <c r="K182" i="2" s="1"/>
  <c r="J183" i="2"/>
  <c r="K183" i="2" s="1"/>
  <c r="J184" i="2"/>
  <c r="K184" i="2" s="1"/>
  <c r="M184" i="2" s="1"/>
  <c r="J185" i="2"/>
  <c r="K185" i="2" s="1"/>
  <c r="M185" i="2"/>
  <c r="J186" i="2"/>
  <c r="K186" i="2"/>
  <c r="J187" i="2"/>
  <c r="K187" i="2" s="1"/>
  <c r="M187" i="2" s="1"/>
  <c r="J188" i="2"/>
  <c r="K188" i="2" s="1"/>
  <c r="M188" i="2" s="1"/>
  <c r="J189" i="2"/>
  <c r="K189" i="2" s="1"/>
  <c r="M189" i="2" s="1"/>
  <c r="J190" i="2"/>
  <c r="K190" i="2" s="1"/>
  <c r="M190" i="2" s="1"/>
  <c r="J191" i="2"/>
  <c r="K191" i="2" s="1"/>
  <c r="J192" i="2"/>
  <c r="K192" i="2" s="1"/>
  <c r="M192" i="2"/>
  <c r="J193" i="2"/>
  <c r="K193" i="2"/>
  <c r="J194" i="2"/>
  <c r="K194" i="2" s="1"/>
  <c r="M194" i="2" s="1"/>
  <c r="J195" i="2"/>
  <c r="K195" i="2" s="1"/>
  <c r="J196" i="2"/>
  <c r="K196" i="2" s="1"/>
  <c r="J197" i="2"/>
  <c r="K197" i="2" s="1"/>
  <c r="M197" i="2" s="1"/>
  <c r="J198" i="2"/>
  <c r="K198" i="2" s="1"/>
  <c r="J199" i="2"/>
  <c r="K199" i="2" s="1"/>
  <c r="M199" i="2"/>
  <c r="J200" i="2"/>
  <c r="K200" i="2"/>
  <c r="J201" i="2"/>
  <c r="K201" i="2" s="1"/>
  <c r="M201" i="2" s="1"/>
  <c r="J202" i="2"/>
  <c r="K202" i="2"/>
  <c r="J203" i="2"/>
  <c r="K203" i="2" s="1"/>
  <c r="J204" i="2"/>
  <c r="K204" i="2" s="1"/>
  <c r="M204" i="2" s="1"/>
  <c r="J205" i="2"/>
  <c r="K205" i="2" s="1"/>
  <c r="J206" i="2"/>
  <c r="K206" i="2" s="1"/>
  <c r="J207" i="2"/>
  <c r="K207" i="2" s="1"/>
  <c r="J208" i="2"/>
  <c r="K208" i="2" s="1"/>
  <c r="M208" i="2" s="1"/>
  <c r="J209" i="2"/>
  <c r="K209" i="2"/>
  <c r="J210" i="2"/>
  <c r="K210" i="2"/>
  <c r="J211" i="2"/>
  <c r="K211" i="2" s="1"/>
  <c r="M211" i="2" s="1"/>
  <c r="J212" i="2"/>
  <c r="K212" i="2" s="1"/>
  <c r="M212" i="2" s="1"/>
  <c r="J213" i="2"/>
  <c r="K213" i="2" s="1"/>
  <c r="J214" i="2"/>
  <c r="K214" i="2" s="1"/>
  <c r="J215" i="2"/>
  <c r="K215" i="2" s="1"/>
  <c r="M215" i="2" s="1"/>
  <c r="J216" i="2"/>
  <c r="K216" i="2"/>
  <c r="M216" i="2" s="1"/>
  <c r="J217" i="2"/>
  <c r="K217" i="2" s="1"/>
  <c r="J218" i="2"/>
  <c r="K218" i="2" s="1"/>
  <c r="M218" i="2" s="1"/>
  <c r="J219" i="2"/>
  <c r="K219" i="2" s="1"/>
  <c r="M219" i="2" s="1"/>
  <c r="J220" i="2"/>
  <c r="K220" i="2" s="1"/>
  <c r="M220" i="2" s="1"/>
  <c r="J221" i="2"/>
  <c r="K221" i="2" s="1"/>
  <c r="J222" i="2"/>
  <c r="K222" i="2" s="1"/>
  <c r="M222" i="2" s="1"/>
  <c r="J223" i="2"/>
  <c r="K223" i="2" s="1"/>
  <c r="J224" i="2"/>
  <c r="K224" i="2" s="1"/>
  <c r="M224" i="2" s="1"/>
  <c r="J225" i="2"/>
  <c r="K225" i="2" s="1"/>
  <c r="M225" i="2" s="1"/>
  <c r="J226" i="2"/>
  <c r="K226" i="2" s="1"/>
  <c r="M226" i="2"/>
  <c r="J227" i="2"/>
  <c r="K227" i="2" s="1"/>
  <c r="J228" i="2"/>
  <c r="K228" i="2" s="1"/>
  <c r="J229" i="2"/>
  <c r="K229" i="2" s="1"/>
  <c r="M229" i="2" s="1"/>
  <c r="J230" i="2"/>
  <c r="K230" i="2" s="1"/>
  <c r="M230" i="2" s="1"/>
  <c r="J231" i="2"/>
  <c r="K231" i="2" s="1"/>
  <c r="J232" i="2"/>
  <c r="K232" i="2" s="1"/>
  <c r="M232" i="2" s="1"/>
  <c r="J233" i="2"/>
  <c r="K233" i="2" s="1"/>
  <c r="J234" i="2"/>
  <c r="K234" i="2" s="1"/>
  <c r="M234" i="2"/>
  <c r="J235" i="2"/>
  <c r="K235" i="2"/>
  <c r="J236" i="2"/>
  <c r="K236" i="2" s="1"/>
  <c r="J237" i="2"/>
  <c r="K237" i="2"/>
  <c r="M237" i="2" s="1"/>
  <c r="J238" i="2"/>
  <c r="K238" i="2" s="1"/>
  <c r="J239" i="2"/>
  <c r="K239" i="2" s="1"/>
  <c r="M239" i="2" s="1"/>
  <c r="J240" i="2"/>
  <c r="K240" i="2" s="1"/>
  <c r="M240" i="2"/>
  <c r="J241" i="2"/>
  <c r="K241" i="2" s="1"/>
  <c r="M241" i="2"/>
  <c r="J242" i="2"/>
  <c r="K242" i="2"/>
  <c r="J243" i="2"/>
  <c r="K243" i="2" s="1"/>
  <c r="M243" i="2" s="1"/>
  <c r="J244" i="2"/>
  <c r="K244" i="2" s="1"/>
  <c r="M244" i="2" s="1"/>
  <c r="J245" i="2"/>
  <c r="K245" i="2" s="1"/>
  <c r="J246" i="2"/>
  <c r="K246" i="2" s="1"/>
  <c r="J247" i="2"/>
  <c r="K247" i="2" s="1"/>
  <c r="M247" i="2"/>
  <c r="J248" i="2"/>
  <c r="K248" i="2" s="1"/>
  <c r="M248" i="2" s="1"/>
  <c r="J249" i="2"/>
  <c r="K249" i="2" s="1"/>
  <c r="J250" i="2"/>
  <c r="K250" i="2" s="1"/>
  <c r="M250" i="2" s="1"/>
  <c r="J251" i="2"/>
  <c r="K251" i="2" s="1"/>
  <c r="J252" i="2"/>
  <c r="K252" i="2"/>
  <c r="J253" i="2"/>
  <c r="K253" i="2" s="1"/>
  <c r="M253" i="2" s="1"/>
  <c r="J254" i="2"/>
  <c r="K254" i="2" s="1"/>
  <c r="M254" i="2"/>
  <c r="J255" i="2"/>
  <c r="K255" i="2" s="1"/>
  <c r="M255" i="2" s="1"/>
  <c r="J256" i="2"/>
  <c r="K256" i="2" s="1"/>
  <c r="J257" i="2"/>
  <c r="K257" i="2" s="1"/>
  <c r="M257" i="2" s="1"/>
  <c r="J258" i="2"/>
  <c r="K258" i="2" s="1"/>
  <c r="M258" i="2" s="1"/>
  <c r="J259" i="2"/>
  <c r="K259" i="2" s="1"/>
  <c r="J260" i="2"/>
  <c r="K260" i="2" s="1"/>
  <c r="M260" i="2" s="1"/>
  <c r="J261" i="2"/>
  <c r="K261" i="2" s="1"/>
  <c r="M261" i="2"/>
  <c r="J262" i="2"/>
  <c r="K262" i="2" s="1"/>
  <c r="M262" i="2"/>
  <c r="J263" i="2"/>
  <c r="K263" i="2" s="1"/>
  <c r="J264" i="2"/>
  <c r="K264" i="2" s="1"/>
  <c r="J265" i="2"/>
  <c r="K265" i="2" s="1"/>
  <c r="J266" i="2"/>
  <c r="K266" i="2" s="1"/>
  <c r="J267" i="2"/>
  <c r="K267" i="2" s="1"/>
  <c r="M267" i="2" s="1"/>
  <c r="J268" i="2"/>
  <c r="K268" i="2" s="1"/>
  <c r="J269" i="2"/>
  <c r="K269" i="2" s="1"/>
  <c r="J270" i="2"/>
  <c r="K270" i="2" s="1"/>
  <c r="J271" i="2"/>
  <c r="K271" i="2" s="1"/>
  <c r="J272" i="2"/>
  <c r="K272" i="2" s="1"/>
  <c r="J273" i="2"/>
  <c r="K273" i="2" s="1"/>
  <c r="J274" i="2"/>
  <c r="K274" i="2" s="1"/>
  <c r="J275" i="2"/>
  <c r="K275" i="2" s="1"/>
  <c r="J276" i="2"/>
  <c r="K276" i="2" s="1"/>
  <c r="J277" i="2"/>
  <c r="K277" i="2" s="1"/>
  <c r="J278" i="2"/>
  <c r="K278" i="2" s="1"/>
  <c r="M278" i="2" s="1"/>
  <c r="J279" i="2"/>
  <c r="K279" i="2" s="1"/>
  <c r="J280" i="2"/>
  <c r="K280" i="2"/>
  <c r="J281" i="2"/>
  <c r="K281" i="2" s="1"/>
  <c r="J282" i="2"/>
  <c r="K282" i="2" s="1"/>
  <c r="M282" i="2" s="1"/>
  <c r="J283" i="2"/>
  <c r="K283" i="2" s="1"/>
  <c r="M283" i="2" s="1"/>
  <c r="J284" i="2"/>
  <c r="K284" i="2"/>
  <c r="J285" i="2"/>
  <c r="K285" i="2" s="1"/>
  <c r="M285" i="2" s="1"/>
  <c r="J286" i="2"/>
  <c r="K286" i="2" s="1"/>
  <c r="M286" i="2" s="1"/>
  <c r="J287" i="2"/>
  <c r="K287" i="2"/>
  <c r="M287" i="2" s="1"/>
  <c r="J288" i="2"/>
  <c r="K288" i="2" s="1"/>
  <c r="M288" i="2" s="1"/>
  <c r="J289" i="2"/>
  <c r="K289" i="2" s="1"/>
  <c r="M289" i="2" s="1"/>
  <c r="J290" i="2"/>
  <c r="K290" i="2" s="1"/>
  <c r="M290" i="2"/>
  <c r="J291" i="2"/>
  <c r="K291" i="2"/>
  <c r="J292" i="2"/>
  <c r="K292" i="2" s="1"/>
  <c r="M292" i="2" s="1"/>
  <c r="J293" i="2"/>
  <c r="K293" i="2" s="1"/>
  <c r="M293" i="2" s="1"/>
  <c r="J294" i="2"/>
  <c r="K294" i="2"/>
  <c r="M294" i="2" s="1"/>
  <c r="J295" i="2"/>
  <c r="K295" i="2" s="1"/>
  <c r="M295" i="2" s="1"/>
  <c r="J296" i="2"/>
  <c r="K296" i="2" s="1"/>
  <c r="M296" i="2"/>
  <c r="J297" i="2"/>
  <c r="K297" i="2" s="1"/>
  <c r="M297" i="2" s="1"/>
  <c r="J298" i="2"/>
  <c r="K298" i="2"/>
  <c r="J299" i="2"/>
  <c r="K299" i="2" s="1"/>
  <c r="M299" i="2" s="1"/>
  <c r="J300" i="2"/>
  <c r="K300" i="2"/>
  <c r="J301" i="2"/>
  <c r="K301" i="2" s="1"/>
  <c r="J302" i="2"/>
  <c r="K302" i="2" s="1"/>
  <c r="M302" i="2" s="1"/>
  <c r="J303" i="2"/>
  <c r="K303" i="2" s="1"/>
  <c r="M303" i="2"/>
  <c r="J304" i="2"/>
  <c r="K304" i="2" s="1"/>
  <c r="M304" i="2"/>
  <c r="J305" i="2"/>
  <c r="K305" i="2" s="1"/>
  <c r="J306" i="2"/>
  <c r="K306" i="2" s="1"/>
  <c r="M306" i="2" s="1"/>
  <c r="J307" i="2"/>
  <c r="K307" i="2"/>
  <c r="J308" i="2"/>
  <c r="K308" i="2"/>
  <c r="J309" i="2"/>
  <c r="K309" i="2" s="1"/>
  <c r="M309" i="2" s="1"/>
  <c r="J310" i="2"/>
  <c r="K310" i="2" s="1"/>
  <c r="M310" i="2" s="1"/>
  <c r="J311" i="2"/>
  <c r="K311" i="2" s="1"/>
  <c r="J312" i="2"/>
  <c r="K312" i="2" s="1"/>
  <c r="J313" i="2"/>
  <c r="K313" i="2" s="1"/>
  <c r="M313" i="2" s="1"/>
  <c r="J314" i="2"/>
  <c r="K314" i="2" s="1"/>
  <c r="J315" i="2"/>
  <c r="K315" i="2"/>
  <c r="M315" i="2" s="1"/>
  <c r="J316" i="2"/>
  <c r="K316" i="2" s="1"/>
  <c r="M316" i="2" s="1"/>
  <c r="J317" i="2"/>
  <c r="K317" i="2" s="1"/>
  <c r="M317" i="2" s="1"/>
  <c r="J318" i="2"/>
  <c r="K318" i="2" s="1"/>
  <c r="M318" i="2" s="1"/>
  <c r="J319" i="2"/>
  <c r="K319" i="2"/>
  <c r="J320" i="2"/>
  <c r="K320" i="2" s="1"/>
  <c r="M320" i="2"/>
  <c r="J321" i="2"/>
  <c r="K321" i="2" s="1"/>
  <c r="J322" i="2"/>
  <c r="K322" i="2" s="1"/>
  <c r="J323" i="2"/>
  <c r="K323" i="2"/>
  <c r="M323" i="2" s="1"/>
  <c r="J324" i="2"/>
  <c r="K324" i="2"/>
  <c r="J325" i="2"/>
  <c r="K325" i="2" s="1"/>
  <c r="M325" i="2" s="1"/>
  <c r="J326" i="2"/>
  <c r="K326" i="2" s="1"/>
  <c r="J327" i="2"/>
  <c r="K327" i="2" s="1"/>
  <c r="J328" i="2"/>
  <c r="K328" i="2" s="1"/>
  <c r="J329" i="2"/>
  <c r="K329" i="2" s="1"/>
  <c r="M329" i="2"/>
  <c r="J330" i="2"/>
  <c r="K330" i="2"/>
  <c r="M330" i="2"/>
  <c r="J331" i="2"/>
  <c r="K331" i="2"/>
  <c r="J332" i="2"/>
  <c r="K332" i="2" s="1"/>
  <c r="M332" i="2" s="1"/>
  <c r="J333" i="2"/>
  <c r="K333" i="2" s="1"/>
  <c r="J334" i="2"/>
  <c r="K334" i="2" s="1"/>
  <c r="J335" i="2"/>
  <c r="K335" i="2"/>
  <c r="J336" i="2"/>
  <c r="K336" i="2" s="1"/>
  <c r="M336" i="2"/>
  <c r="J337" i="2"/>
  <c r="K337" i="2" s="1"/>
  <c r="J338" i="2"/>
  <c r="K338" i="2" s="1"/>
  <c r="J339" i="2"/>
  <c r="K339" i="2" s="1"/>
  <c r="M339" i="2" s="1"/>
  <c r="J340" i="2"/>
  <c r="K340" i="2" s="1"/>
  <c r="J341" i="2"/>
  <c r="K341" i="2"/>
  <c r="M341" i="2" s="1"/>
  <c r="J342" i="2"/>
  <c r="K342" i="2"/>
  <c r="J343" i="2"/>
  <c r="K343" i="2" s="1"/>
  <c r="M343" i="2" s="1"/>
  <c r="J344" i="2"/>
  <c r="K344" i="2" s="1"/>
  <c r="J345" i="2"/>
  <c r="K345" i="2" s="1"/>
  <c r="J346" i="2"/>
  <c r="K346" i="2" s="1"/>
  <c r="M346" i="2" s="1"/>
  <c r="J347" i="2"/>
  <c r="K347" i="2"/>
  <c r="M347" i="2"/>
  <c r="J348" i="2"/>
  <c r="K348" i="2"/>
  <c r="J349" i="2"/>
  <c r="K349" i="2" s="1"/>
  <c r="J350" i="2"/>
  <c r="K350" i="2" s="1"/>
  <c r="M350" i="2" s="1"/>
  <c r="J351" i="2"/>
  <c r="K351" i="2" s="1"/>
  <c r="J352" i="2"/>
  <c r="K352" i="2" s="1"/>
  <c r="J353" i="2"/>
  <c r="K353" i="2" s="1"/>
  <c r="M353" i="2" s="1"/>
  <c r="J354" i="2"/>
  <c r="K354" i="2"/>
  <c r="J355" i="2"/>
  <c r="K355" i="2"/>
  <c r="M355" i="2" s="1"/>
  <c r="J356" i="2"/>
  <c r="K356" i="2"/>
  <c r="J357" i="2"/>
  <c r="K357" i="2" s="1"/>
  <c r="M357" i="2"/>
  <c r="J358" i="2"/>
  <c r="K358" i="2" s="1"/>
  <c r="J359" i="2"/>
  <c r="K359" i="2"/>
  <c r="J360" i="2"/>
  <c r="K360" i="2" s="1"/>
  <c r="M360" i="2" s="1"/>
  <c r="J361" i="2"/>
  <c r="K361" i="2" s="1"/>
  <c r="J362" i="2"/>
  <c r="K362" i="2"/>
  <c r="M362" i="2"/>
  <c r="J363" i="2"/>
  <c r="K363" i="2"/>
  <c r="J364" i="2"/>
  <c r="K364" i="2" s="1"/>
  <c r="J365" i="2"/>
  <c r="K365" i="2"/>
  <c r="M365" i="2"/>
  <c r="J366" i="2"/>
  <c r="K366" i="2"/>
  <c r="J367" i="2"/>
  <c r="K367" i="2" s="1"/>
  <c r="M367" i="2" s="1"/>
  <c r="J368" i="2"/>
  <c r="K368" i="2" s="1"/>
  <c r="J369" i="2"/>
  <c r="K369" i="2" s="1"/>
  <c r="J370" i="2"/>
  <c r="K370" i="2" s="1"/>
  <c r="J371" i="2"/>
  <c r="K371" i="2" s="1"/>
  <c r="J372" i="2"/>
  <c r="K372" i="2" s="1"/>
  <c r="J373" i="2"/>
  <c r="K373" i="2"/>
  <c r="J374" i="2"/>
  <c r="K374" i="2" s="1"/>
  <c r="M374" i="2" s="1"/>
  <c r="J375" i="2"/>
  <c r="K375" i="2"/>
  <c r="M375" i="2"/>
  <c r="J376" i="2"/>
  <c r="K376" i="2" s="1"/>
  <c r="J377" i="2"/>
  <c r="K377" i="2" s="1"/>
  <c r="J378" i="2"/>
  <c r="K378" i="2" s="1"/>
  <c r="J379" i="2"/>
  <c r="K379" i="2"/>
  <c r="M379" i="2"/>
  <c r="J380" i="2"/>
  <c r="K380" i="2"/>
  <c r="J381" i="2"/>
  <c r="K381" i="2" s="1"/>
  <c r="M381" i="2" s="1"/>
  <c r="J382" i="2"/>
  <c r="K382" i="2" s="1"/>
  <c r="J383" i="2"/>
  <c r="K383" i="2"/>
  <c r="J384" i="2"/>
  <c r="K384" i="2"/>
  <c r="J385" i="2"/>
  <c r="K385" i="2" s="1"/>
  <c r="M385" i="2"/>
  <c r="J386" i="2"/>
  <c r="K386" i="2"/>
  <c r="M386" i="2" s="1"/>
  <c r="J387" i="2"/>
  <c r="K387" i="2" s="1"/>
  <c r="J388" i="2"/>
  <c r="K388" i="2" s="1"/>
  <c r="M388" i="2" s="1"/>
  <c r="J389" i="2"/>
  <c r="K389" i="2" s="1"/>
  <c r="J390" i="2"/>
  <c r="K390" i="2"/>
  <c r="M390" i="2" s="1"/>
  <c r="J391" i="2"/>
  <c r="K391" i="2" s="1"/>
  <c r="J392" i="2"/>
  <c r="K392" i="2" s="1"/>
  <c r="M392" i="2" s="1"/>
  <c r="J393" i="2"/>
  <c r="K393" i="2"/>
  <c r="J394" i="2"/>
  <c r="K394" i="2"/>
  <c r="J395" i="2"/>
  <c r="K395" i="2" s="1"/>
  <c r="M395" i="2" s="1"/>
  <c r="J396" i="2"/>
  <c r="K396" i="2"/>
  <c r="M396" i="2"/>
  <c r="J397" i="2"/>
  <c r="K397" i="2"/>
  <c r="J398" i="2"/>
  <c r="K398" i="2" s="1"/>
  <c r="J399" i="2"/>
  <c r="K399" i="2" s="1"/>
  <c r="M399" i="2" s="1"/>
  <c r="J400" i="2"/>
  <c r="K400" i="2" s="1"/>
  <c r="J401" i="2"/>
  <c r="K401" i="2" s="1"/>
  <c r="J402" i="2"/>
  <c r="K402" i="2" s="1"/>
  <c r="M402" i="2" s="1"/>
  <c r="J403" i="2"/>
  <c r="K403" i="2" s="1"/>
  <c r="J404" i="2"/>
  <c r="K404" i="2"/>
  <c r="J405" i="2"/>
  <c r="K405" i="2" s="1"/>
  <c r="J406" i="2"/>
  <c r="K406" i="2" s="1"/>
  <c r="M406" i="2"/>
  <c r="J407" i="2"/>
  <c r="K407" i="2" s="1"/>
  <c r="J408" i="2"/>
  <c r="K408" i="2" s="1"/>
  <c r="J409" i="2"/>
  <c r="K409" i="2" s="1"/>
  <c r="M409" i="2" s="1"/>
  <c r="J410" i="2"/>
  <c r="K410" i="2"/>
  <c r="M410" i="2" s="1"/>
  <c r="J411" i="2"/>
  <c r="K411" i="2"/>
  <c r="M411" i="2" s="1"/>
  <c r="J412" i="2"/>
  <c r="K412" i="2" s="1"/>
  <c r="J413" i="2"/>
  <c r="K413" i="2" s="1"/>
  <c r="M413" i="2" s="1"/>
  <c r="J414" i="2"/>
  <c r="K414" i="2"/>
  <c r="M414" i="2"/>
  <c r="J415" i="2"/>
  <c r="K415" i="2" s="1"/>
  <c r="J416" i="2"/>
  <c r="K416" i="2" s="1"/>
  <c r="M416" i="2" s="1"/>
  <c r="J417" i="2"/>
  <c r="K417" i="2"/>
  <c r="J418" i="2"/>
  <c r="K418" i="2" s="1"/>
  <c r="J419" i="2"/>
  <c r="K419" i="2" s="1"/>
  <c r="J420" i="2"/>
  <c r="K420" i="2" s="1"/>
  <c r="M420" i="2" s="1"/>
  <c r="J421" i="2"/>
  <c r="K421" i="2" s="1"/>
  <c r="J422" i="2"/>
  <c r="K422" i="2" s="1"/>
  <c r="J423" i="2"/>
  <c r="K423" i="2" s="1"/>
  <c r="M423" i="2" s="1"/>
  <c r="J424" i="2"/>
  <c r="K424" i="2" s="1"/>
  <c r="J425" i="2"/>
  <c r="K425" i="2" s="1"/>
  <c r="J426" i="2"/>
  <c r="K426" i="2" s="1"/>
  <c r="J427" i="2"/>
  <c r="K427" i="2" s="1"/>
  <c r="J428" i="2"/>
  <c r="K428" i="2" s="1"/>
  <c r="J429" i="2"/>
  <c r="K429" i="2" s="1"/>
  <c r="J430" i="2"/>
  <c r="K430" i="2" s="1"/>
  <c r="M430" i="2" s="1"/>
  <c r="J431" i="2"/>
  <c r="K431" i="2"/>
  <c r="M431" i="2"/>
  <c r="J432" i="2"/>
  <c r="K432" i="2" s="1"/>
  <c r="J433" i="2"/>
  <c r="K433" i="2" s="1"/>
  <c r="J434" i="2"/>
  <c r="K434" i="2" s="1"/>
  <c r="M434" i="2"/>
  <c r="J435" i="2"/>
  <c r="K435" i="2" s="1"/>
  <c r="J436" i="2"/>
  <c r="K436" i="2" s="1"/>
  <c r="M436" i="2" s="1"/>
  <c r="J437" i="2"/>
  <c r="K437" i="2" s="1"/>
  <c r="M437" i="2" s="1"/>
  <c r="J438" i="2"/>
  <c r="K438" i="2"/>
  <c r="M438" i="2"/>
  <c r="J439" i="2"/>
  <c r="K439" i="2"/>
  <c r="J440" i="2"/>
  <c r="K440" i="2" s="1"/>
  <c r="J441" i="2"/>
  <c r="K441" i="2" s="1"/>
  <c r="J442" i="2"/>
  <c r="K442" i="2" s="1"/>
  <c r="J443" i="2"/>
  <c r="K443" i="2" s="1"/>
  <c r="J444" i="2"/>
  <c r="K444" i="2" s="1"/>
  <c r="M444" i="2" s="1"/>
  <c r="J445" i="2"/>
  <c r="K445" i="2"/>
  <c r="J446" i="2"/>
  <c r="K446" i="2" s="1"/>
  <c r="J447" i="2"/>
  <c r="K447" i="2"/>
  <c r="J448" i="2"/>
  <c r="K448" i="2" s="1"/>
  <c r="J449" i="2"/>
  <c r="K449" i="2"/>
  <c r="M449" i="2" s="1"/>
  <c r="J450" i="2"/>
  <c r="K450" i="2" s="1"/>
  <c r="J451" i="2"/>
  <c r="K451" i="2" s="1"/>
  <c r="M451" i="2" s="1"/>
  <c r="J452" i="2"/>
  <c r="K452" i="2"/>
  <c r="J453" i="2"/>
  <c r="K453" i="2"/>
  <c r="M453" i="2" s="1"/>
  <c r="J454" i="2"/>
  <c r="K454" i="2"/>
  <c r="J455" i="2"/>
  <c r="K455" i="2" s="1"/>
  <c r="M455" i="2"/>
  <c r="J456" i="2"/>
  <c r="K456" i="2" s="1"/>
  <c r="J457" i="2"/>
  <c r="K457" i="2"/>
  <c r="M457" i="2"/>
  <c r="J458" i="2"/>
  <c r="K458" i="2" s="1"/>
  <c r="M458" i="2" s="1"/>
  <c r="J459" i="2"/>
  <c r="K459" i="2" s="1"/>
  <c r="J460" i="2"/>
  <c r="K460" i="2" s="1"/>
  <c r="J461" i="2"/>
  <c r="K461" i="2"/>
  <c r="J462" i="2"/>
  <c r="K462" i="2" s="1"/>
  <c r="M462" i="2" s="1"/>
  <c r="J463" i="2"/>
  <c r="K463" i="2"/>
  <c r="J464" i="2"/>
  <c r="K464" i="2"/>
  <c r="M464" i="2" s="1"/>
  <c r="J465" i="2"/>
  <c r="K465" i="2" s="1"/>
  <c r="M465" i="2" s="1"/>
  <c r="J466" i="2"/>
  <c r="K466" i="2"/>
  <c r="M466" i="2" s="1"/>
  <c r="J467" i="2"/>
  <c r="K467" i="2" s="1"/>
  <c r="J468" i="2"/>
  <c r="K468" i="2"/>
  <c r="J469" i="2"/>
  <c r="K469" i="2" s="1"/>
  <c r="M469" i="2" s="1"/>
  <c r="J470" i="2"/>
  <c r="K470" i="2"/>
  <c r="J471" i="2"/>
  <c r="K471" i="2" s="1"/>
  <c r="J472" i="2"/>
  <c r="K472" i="2" s="1"/>
  <c r="M472" i="2" s="1"/>
  <c r="J473" i="2"/>
  <c r="K473" i="2"/>
  <c r="M473" i="2" s="1"/>
  <c r="J474" i="2"/>
  <c r="K474" i="2"/>
  <c r="M474" i="2" s="1"/>
  <c r="J475" i="2"/>
  <c r="K475" i="2" s="1"/>
  <c r="J476" i="2"/>
  <c r="K476" i="2" s="1"/>
  <c r="J477" i="2"/>
  <c r="K477" i="2"/>
  <c r="M477" i="2"/>
  <c r="J478" i="2"/>
  <c r="K478" i="2" s="1"/>
  <c r="J479" i="2"/>
  <c r="K479" i="2" s="1"/>
  <c r="M479" i="2" s="1"/>
  <c r="J480" i="2"/>
  <c r="K480" i="2"/>
  <c r="J481" i="2"/>
  <c r="K481" i="2"/>
  <c r="M481" i="2" s="1"/>
  <c r="J482" i="2"/>
  <c r="K482" i="2" s="1"/>
  <c r="J483" i="2"/>
  <c r="K483" i="2" s="1"/>
  <c r="J484" i="2"/>
  <c r="K484" i="2" s="1"/>
  <c r="J485" i="2"/>
  <c r="K485" i="2"/>
  <c r="M485" i="2" s="1"/>
  <c r="J486" i="2"/>
  <c r="K486" i="2" s="1"/>
  <c r="J487" i="2"/>
  <c r="K487" i="2" s="1"/>
  <c r="J488" i="2"/>
  <c r="K488" i="2" s="1"/>
  <c r="J489" i="2"/>
  <c r="K489" i="2" s="1"/>
  <c r="J490" i="2"/>
  <c r="K490" i="2"/>
  <c r="J491" i="2"/>
  <c r="K491" i="2" s="1"/>
  <c r="J492" i="2"/>
  <c r="K492" i="2"/>
  <c r="M492" i="2" s="1"/>
  <c r="J493" i="2"/>
  <c r="K493" i="2"/>
  <c r="M493" i="2"/>
  <c r="J494" i="2"/>
  <c r="K494" i="2" s="1"/>
  <c r="J495" i="2"/>
  <c r="K495" i="2" s="1"/>
  <c r="J496" i="2"/>
  <c r="K496" i="2" s="1"/>
  <c r="J497" i="2"/>
  <c r="K497" i="2"/>
  <c r="J498" i="2"/>
  <c r="K498" i="2" s="1"/>
  <c r="J499" i="2"/>
  <c r="K499" i="2"/>
  <c r="M499" i="2" s="1"/>
  <c r="J500" i="2"/>
  <c r="K500" i="2"/>
  <c r="M500" i="2"/>
  <c r="J501" i="2"/>
  <c r="K501" i="2" s="1"/>
  <c r="J502" i="2"/>
  <c r="K502" i="2"/>
  <c r="M502" i="2"/>
  <c r="J503" i="2"/>
  <c r="K503" i="2" s="1"/>
  <c r="J504" i="2"/>
  <c r="K504" i="2" s="1"/>
  <c r="J505" i="2"/>
  <c r="K505" i="2" s="1"/>
  <c r="J506" i="2"/>
  <c r="K506" i="2" s="1"/>
  <c r="J507" i="2"/>
  <c r="K507" i="2"/>
  <c r="J508" i="2"/>
  <c r="K508" i="2" s="1"/>
  <c r="J509" i="2"/>
  <c r="K509" i="2"/>
  <c r="M509" i="2"/>
  <c r="J510" i="2"/>
  <c r="K510" i="2" s="1"/>
  <c r="J511" i="2"/>
  <c r="K511" i="2"/>
  <c r="J512" i="2"/>
  <c r="K512" i="2" s="1"/>
  <c r="J513" i="2"/>
  <c r="K513" i="2" s="1"/>
  <c r="J514" i="2"/>
  <c r="K514" i="2" s="1"/>
  <c r="J515" i="2"/>
  <c r="K515" i="2" s="1"/>
  <c r="J516" i="2"/>
  <c r="K516" i="2"/>
  <c r="J517" i="2"/>
  <c r="K517" i="2" s="1"/>
  <c r="J518" i="2"/>
  <c r="K518" i="2"/>
  <c r="J519" i="2"/>
  <c r="K519" i="2" s="1"/>
  <c r="J520" i="2"/>
  <c r="K520" i="2" s="1"/>
  <c r="N20" i="7"/>
  <c r="N29" i="7"/>
  <c r="M251" i="2" l="1"/>
  <c r="M520" i="2"/>
  <c r="M400" i="2"/>
  <c r="M337" i="2"/>
  <c r="M460" i="2"/>
  <c r="M139" i="2"/>
  <c r="M482" i="2"/>
  <c r="M443" i="2"/>
  <c r="M326" i="2"/>
  <c r="M389" i="2"/>
  <c r="M506" i="2"/>
  <c r="M358" i="2"/>
  <c r="M333" i="2"/>
  <c r="M514" i="2"/>
  <c r="M456" i="2"/>
  <c r="M314" i="2"/>
  <c r="M495" i="2"/>
  <c r="M147" i="2"/>
  <c r="M421" i="2"/>
  <c r="M382" i="2"/>
  <c r="M513" i="2"/>
  <c r="M471" i="2"/>
  <c r="M478" i="2"/>
  <c r="M424" i="2"/>
  <c r="M181" i="2"/>
  <c r="M488" i="2"/>
  <c r="M245" i="2"/>
  <c r="M48" i="2"/>
  <c r="M486" i="2"/>
  <c r="M372" i="2"/>
  <c r="M340" i="2"/>
  <c r="M121" i="2"/>
  <c r="M203" i="2"/>
  <c r="M112" i="2"/>
  <c r="M80" i="2"/>
  <c r="M136" i="2"/>
  <c r="M516" i="2"/>
  <c r="M227" i="2"/>
  <c r="M24" i="2"/>
  <c r="M470" i="2"/>
  <c r="M404" i="2"/>
  <c r="M31" i="2"/>
  <c r="M507" i="2"/>
  <c r="M383" i="2"/>
  <c r="M266" i="2"/>
  <c r="M252" i="2"/>
  <c r="M231" i="2"/>
  <c r="M191" i="2"/>
  <c r="M154" i="2"/>
  <c r="M114" i="2"/>
  <c r="M107" i="2"/>
  <c r="M378" i="2"/>
  <c r="M198" i="2"/>
  <c r="M59" i="2"/>
  <c r="M512" i="2"/>
  <c r="M418" i="2"/>
  <c r="M376" i="2"/>
  <c r="M338" i="2"/>
  <c r="M263" i="2"/>
  <c r="M221" i="2"/>
  <c r="M196" i="2"/>
  <c r="M487" i="2"/>
  <c r="M425" i="2"/>
  <c r="M369" i="2"/>
  <c r="M517" i="2"/>
  <c r="M368" i="2"/>
  <c r="M273" i="2"/>
  <c r="M32" i="2"/>
  <c r="M334" i="2"/>
  <c r="M505" i="2"/>
  <c r="M475" i="2"/>
  <c r="M459" i="2"/>
  <c r="M272" i="2"/>
  <c r="M387" i="2"/>
  <c r="M432" i="2"/>
  <c r="M498" i="2"/>
  <c r="M446" i="2"/>
  <c r="M519" i="2"/>
  <c r="M494" i="2"/>
  <c r="M503" i="2"/>
  <c r="M415" i="2"/>
  <c r="M501" i="2"/>
  <c r="M428" i="2"/>
  <c r="M238" i="2"/>
  <c r="M442" i="2"/>
  <c r="M327" i="2"/>
  <c r="M81" i="2"/>
  <c r="M515" i="2"/>
  <c r="M422" i="2"/>
  <c r="M403" i="2"/>
  <c r="M217" i="2"/>
  <c r="M496" i="2"/>
  <c r="M435" i="2"/>
  <c r="M510" i="2"/>
  <c r="M491" i="2"/>
  <c r="M508" i="2"/>
  <c r="M484" i="2"/>
  <c r="M279" i="2"/>
  <c r="M489" i="2"/>
  <c r="M408" i="2"/>
  <c r="M440" i="2"/>
  <c r="M270" i="2"/>
  <c r="M167" i="2"/>
  <c r="M111" i="2"/>
  <c r="M102" i="2"/>
  <c r="M35" i="2"/>
  <c r="M461" i="2"/>
  <c r="M207" i="2"/>
  <c r="M174" i="2"/>
  <c r="M34" i="2"/>
  <c r="M452" i="2"/>
  <c r="M448" i="2"/>
  <c r="M439" i="2"/>
  <c r="M371" i="2"/>
  <c r="M366" i="2"/>
  <c r="M351" i="2"/>
  <c r="M322" i="2"/>
  <c r="M277" i="2"/>
  <c r="M268" i="2"/>
  <c r="M236" i="2"/>
  <c r="M206" i="2"/>
  <c r="M193" i="2"/>
  <c r="M165" i="2"/>
  <c r="M125" i="2"/>
  <c r="M116" i="2"/>
  <c r="M110" i="2"/>
  <c r="M57" i="2"/>
  <c r="M26" i="2"/>
  <c r="M426" i="2"/>
  <c r="M352" i="2"/>
  <c r="M256" i="2"/>
  <c r="M223" i="2"/>
  <c r="M148" i="2"/>
  <c r="M140" i="2"/>
  <c r="M88" i="2"/>
  <c r="M401" i="2"/>
  <c r="M284" i="2"/>
  <c r="M269" i="2"/>
  <c r="M166" i="2"/>
  <c r="M361" i="2"/>
  <c r="M308" i="2"/>
  <c r="M301" i="2"/>
  <c r="M276" i="2"/>
  <c r="M235" i="2"/>
  <c r="M173" i="2"/>
  <c r="M124" i="2"/>
  <c r="M109" i="2"/>
  <c r="M79" i="2"/>
  <c r="M89" i="2"/>
  <c r="M331" i="2"/>
  <c r="M78" i="2"/>
  <c r="M63" i="2"/>
  <c r="M429" i="2"/>
  <c r="M205" i="2"/>
  <c r="M186" i="2"/>
  <c r="M138" i="2"/>
  <c r="M100" i="2"/>
  <c r="M62" i="2"/>
  <c r="M419" i="2"/>
  <c r="M394" i="2"/>
  <c r="M345" i="2"/>
  <c r="M179" i="2"/>
  <c r="M137" i="2"/>
  <c r="M99" i="2"/>
  <c r="M40" i="2"/>
  <c r="M480" i="2"/>
  <c r="M476" i="2"/>
  <c r="M467" i="2"/>
  <c r="M463" i="2"/>
  <c r="M450" i="2"/>
  <c r="M433" i="2"/>
  <c r="M393" i="2"/>
  <c r="M364" i="2"/>
  <c r="M359" i="2"/>
  <c r="M344" i="2"/>
  <c r="M281" i="2"/>
  <c r="M259" i="2"/>
  <c r="M151" i="2"/>
  <c r="M144" i="2"/>
  <c r="M91" i="2"/>
  <c r="M38" i="2"/>
  <c r="M49" i="2"/>
  <c r="M249" i="2"/>
  <c r="M108" i="2"/>
  <c r="M300" i="2"/>
  <c r="M171" i="2"/>
  <c r="M354" i="2"/>
  <c r="M305" i="2"/>
  <c r="M298" i="2"/>
  <c r="M195" i="2"/>
  <c r="M405" i="2"/>
  <c r="M380" i="2"/>
  <c r="M242" i="2"/>
  <c r="M172" i="2"/>
  <c r="M158" i="2"/>
  <c r="M123" i="2"/>
  <c r="M447" i="2"/>
  <c r="M468" i="2"/>
  <c r="M274" i="2"/>
  <c r="M233" i="2"/>
  <c r="M454" i="2"/>
  <c r="M398" i="2"/>
  <c r="M373" i="2"/>
  <c r="M324" i="2"/>
  <c r="M319" i="2"/>
  <c r="M265" i="2"/>
  <c r="M246" i="2"/>
  <c r="M210" i="2"/>
  <c r="M202" i="2"/>
  <c r="M176" i="2"/>
  <c r="M143" i="2"/>
  <c r="M135" i="2"/>
  <c r="M119" i="2"/>
  <c r="M83" i="2"/>
  <c r="M75" i="2"/>
  <c r="M69" i="2"/>
  <c r="M29" i="2"/>
  <c r="M271" i="2"/>
  <c r="M55" i="2"/>
  <c r="M307" i="2"/>
  <c r="M39" i="2"/>
  <c r="M518" i="2"/>
  <c r="M511" i="2"/>
  <c r="M504" i="2"/>
  <c r="M497" i="2"/>
  <c r="M490" i="2"/>
  <c r="M483" i="2"/>
  <c r="M445" i="2"/>
  <c r="M441" i="2"/>
  <c r="M427" i="2"/>
  <c r="M417" i="2"/>
  <c r="M407" i="2"/>
  <c r="M397" i="2"/>
  <c r="M348" i="2"/>
  <c r="M312" i="2"/>
  <c r="M264" i="2"/>
  <c r="M175" i="2"/>
  <c r="M168" i="2"/>
  <c r="M142" i="2"/>
  <c r="M68" i="2"/>
  <c r="M214" i="2"/>
  <c r="M46" i="2"/>
  <c r="M54" i="2"/>
  <c r="M53" i="2"/>
  <c r="M412" i="2"/>
  <c r="M291" i="2"/>
  <c r="M209" i="2"/>
  <c r="M183" i="2"/>
  <c r="M161" i="2"/>
  <c r="M104" i="2"/>
  <c r="M96" i="2"/>
  <c r="M90" i="2"/>
  <c r="M67" i="2"/>
  <c r="M200" i="2"/>
  <c r="M122" i="2"/>
  <c r="M95" i="2"/>
  <c r="M74" i="2"/>
  <c r="M52" i="2"/>
  <c r="M25" i="2"/>
  <c r="M117" i="2"/>
  <c r="M47" i="2"/>
  <c r="M391" i="2"/>
  <c r="M384" i="2"/>
  <c r="M377" i="2"/>
  <c r="M370" i="2"/>
  <c r="M363" i="2"/>
  <c r="M356" i="2"/>
  <c r="M349" i="2"/>
  <c r="M342" i="2"/>
  <c r="M335" i="2"/>
  <c r="M328" i="2"/>
  <c r="M321" i="2"/>
  <c r="M311" i="2"/>
  <c r="M280" i="2"/>
  <c r="M275" i="2"/>
  <c r="M213" i="2"/>
  <c r="M182" i="2"/>
  <c r="M177" i="2"/>
  <c r="M98" i="2"/>
  <c r="M87" i="2"/>
  <c r="M77" i="2"/>
  <c r="M66" i="2"/>
  <c r="M28" i="2"/>
  <c r="M61" i="2"/>
  <c r="M228" i="2"/>
  <c r="M130" i="2"/>
  <c r="M60" i="2"/>
  <c r="M103" i="2"/>
  <c r="M82" i="2"/>
  <c r="M33" i="2"/>
  <c r="J533" i="2" l="1"/>
  <c r="S533" i="2"/>
  <c r="G8" i="1" l="1"/>
  <c r="G7" i="1"/>
  <c r="J6" i="4"/>
  <c r="AN51" i="5"/>
  <c r="AN50" i="5"/>
  <c r="AN49" i="5"/>
  <c r="AN48" i="5"/>
  <c r="AN47" i="5"/>
  <c r="AN23" i="5"/>
  <c r="R23" i="5" s="1"/>
  <c r="AS47" i="5"/>
  <c r="AS51" i="5"/>
  <c r="AO51" i="5"/>
  <c r="AS50" i="5"/>
  <c r="AO50" i="5"/>
  <c r="AQ50" i="5" s="1"/>
  <c r="AS49" i="5"/>
  <c r="AO49" i="5"/>
  <c r="AS48" i="5"/>
  <c r="AO48" i="5"/>
  <c r="AO47" i="5"/>
  <c r="AQ47" i="5" s="1"/>
  <c r="AU24" i="5"/>
  <c r="AU25" i="5"/>
  <c r="AU26" i="5"/>
  <c r="AU27" i="5"/>
  <c r="AU28" i="5"/>
  <c r="AU29" i="5"/>
  <c r="AU30" i="5"/>
  <c r="AU31" i="5"/>
  <c r="AU32" i="5"/>
  <c r="AU23" i="5"/>
  <c r="AS23" i="5"/>
  <c r="AT23" i="5" s="1"/>
  <c r="AO23" i="5"/>
  <c r="AP23" i="5" s="1"/>
  <c r="AS24" i="5"/>
  <c r="AT24" i="5" s="1"/>
  <c r="AS25" i="5"/>
  <c r="AT25" i="5" s="1"/>
  <c r="AS26" i="5"/>
  <c r="AT26" i="5" s="1"/>
  <c r="AS27" i="5"/>
  <c r="AT27" i="5" s="1"/>
  <c r="AS28" i="5"/>
  <c r="AT28" i="5" s="1"/>
  <c r="AS29" i="5"/>
  <c r="AT29" i="5" s="1"/>
  <c r="AS30" i="5"/>
  <c r="AT30" i="5" s="1"/>
  <c r="AS31" i="5"/>
  <c r="AT31" i="5" s="1"/>
  <c r="AS32" i="5"/>
  <c r="AT32" i="5" s="1"/>
  <c r="AO24" i="5"/>
  <c r="AP24" i="5" s="1"/>
  <c r="AO25" i="5"/>
  <c r="AP25" i="5" s="1"/>
  <c r="AO26" i="5"/>
  <c r="AP26" i="5" s="1"/>
  <c r="AO27" i="5"/>
  <c r="AP27" i="5" s="1"/>
  <c r="AO28" i="5"/>
  <c r="AP28" i="5" s="1"/>
  <c r="AO29" i="5"/>
  <c r="AP29" i="5" s="1"/>
  <c r="AO30" i="5"/>
  <c r="AP30" i="5" s="1"/>
  <c r="AO31" i="5"/>
  <c r="AP31" i="5" s="1"/>
  <c r="AO32" i="5"/>
  <c r="AP32" i="5" s="1"/>
  <c r="H25" i="1" l="1"/>
  <c r="D25" i="1" s="1"/>
  <c r="S23" i="5"/>
  <c r="AU50" i="5"/>
  <c r="AQ51" i="5"/>
  <c r="AU49" i="5"/>
  <c r="AQ48" i="5"/>
  <c r="AQ49" i="5"/>
  <c r="AU47" i="5"/>
  <c r="AU48" i="5"/>
  <c r="AU51" i="5"/>
  <c r="AE47" i="5" l="1"/>
  <c r="AF47" i="5" s="1"/>
  <c r="AG47" i="5" s="1"/>
  <c r="AE48" i="5"/>
  <c r="AF48" i="5" s="1"/>
  <c r="AG48" i="5" s="1"/>
  <c r="AE49" i="5"/>
  <c r="AE50" i="5"/>
  <c r="AF50" i="5" s="1"/>
  <c r="AG50" i="5" s="1"/>
  <c r="AQ23" i="5" l="1"/>
  <c r="AF23" i="5" s="1"/>
  <c r="T23" i="5" l="1"/>
  <c r="B36" i="8" l="1"/>
  <c r="B35" i="7"/>
  <c r="B42" i="5"/>
  <c r="B528" i="2"/>
  <c r="L21" i="8" l="1"/>
  <c r="W21" i="8" s="1"/>
  <c r="I21" i="8"/>
  <c r="AA21" i="8" l="1"/>
  <c r="Z21" i="8"/>
  <c r="O21" i="8" l="1"/>
  <c r="Y42" i="7"/>
  <c r="Y41" i="7"/>
  <c r="Y40" i="7"/>
  <c r="W40" i="7"/>
  <c r="X40" i="7" s="1"/>
  <c r="S520" i="2" l="1"/>
  <c r="S519" i="2"/>
  <c r="S518" i="2"/>
  <c r="S517" i="2"/>
  <c r="S516" i="2"/>
  <c r="S515" i="2"/>
  <c r="S514" i="2"/>
  <c r="S513" i="2"/>
  <c r="S512" i="2"/>
  <c r="S511" i="2"/>
  <c r="S510" i="2"/>
  <c r="S509" i="2"/>
  <c r="S508" i="2"/>
  <c r="S507" i="2"/>
  <c r="S506" i="2"/>
  <c r="S505" i="2"/>
  <c r="S504" i="2"/>
  <c r="S503" i="2"/>
  <c r="S502" i="2"/>
  <c r="S501" i="2"/>
  <c r="S500" i="2"/>
  <c r="S499" i="2"/>
  <c r="S498" i="2"/>
  <c r="S497" i="2"/>
  <c r="S496" i="2"/>
  <c r="S495" i="2"/>
  <c r="S494" i="2"/>
  <c r="S493" i="2"/>
  <c r="S492" i="2"/>
  <c r="S491" i="2"/>
  <c r="S490" i="2"/>
  <c r="S489" i="2"/>
  <c r="S488" i="2"/>
  <c r="S487" i="2"/>
  <c r="S486" i="2"/>
  <c r="S485" i="2"/>
  <c r="S484" i="2"/>
  <c r="S483" i="2"/>
  <c r="S482" i="2"/>
  <c r="S481" i="2"/>
  <c r="S480" i="2"/>
  <c r="S479" i="2"/>
  <c r="S478" i="2"/>
  <c r="S477" i="2"/>
  <c r="S476" i="2"/>
  <c r="S475" i="2"/>
  <c r="S474" i="2"/>
  <c r="S473" i="2"/>
  <c r="S472" i="2"/>
  <c r="S471" i="2"/>
  <c r="S470" i="2"/>
  <c r="S469" i="2"/>
  <c r="S468" i="2"/>
  <c r="S467" i="2"/>
  <c r="S466" i="2"/>
  <c r="S465" i="2"/>
  <c r="S464" i="2"/>
  <c r="S463" i="2"/>
  <c r="S462" i="2"/>
  <c r="S461" i="2"/>
  <c r="S460" i="2"/>
  <c r="S459" i="2"/>
  <c r="S458" i="2"/>
  <c r="S457" i="2"/>
  <c r="S456" i="2"/>
  <c r="S455" i="2"/>
  <c r="S454" i="2"/>
  <c r="S453" i="2"/>
  <c r="S452" i="2"/>
  <c r="S451" i="2"/>
  <c r="S450" i="2"/>
  <c r="S449" i="2"/>
  <c r="S448" i="2"/>
  <c r="S447" i="2"/>
  <c r="S446" i="2"/>
  <c r="S445" i="2"/>
  <c r="S444" i="2"/>
  <c r="S443" i="2"/>
  <c r="S442" i="2"/>
  <c r="S441" i="2"/>
  <c r="S440" i="2"/>
  <c r="S439" i="2"/>
  <c r="S438" i="2"/>
  <c r="S437" i="2"/>
  <c r="S436" i="2"/>
  <c r="S435" i="2"/>
  <c r="S434" i="2"/>
  <c r="S433" i="2"/>
  <c r="S432" i="2"/>
  <c r="S431" i="2"/>
  <c r="S430" i="2"/>
  <c r="S429" i="2"/>
  <c r="S428" i="2"/>
  <c r="S427" i="2"/>
  <c r="S426" i="2"/>
  <c r="S425" i="2"/>
  <c r="S424" i="2"/>
  <c r="S423" i="2"/>
  <c r="S422" i="2"/>
  <c r="S421" i="2"/>
  <c r="S420" i="2"/>
  <c r="S419" i="2"/>
  <c r="S418" i="2"/>
  <c r="S417" i="2"/>
  <c r="S416" i="2"/>
  <c r="S415" i="2"/>
  <c r="S414" i="2"/>
  <c r="S413" i="2"/>
  <c r="S412" i="2"/>
  <c r="S411" i="2"/>
  <c r="S410" i="2"/>
  <c r="S409" i="2"/>
  <c r="S408" i="2"/>
  <c r="S407" i="2"/>
  <c r="S406" i="2"/>
  <c r="S405" i="2"/>
  <c r="S404" i="2"/>
  <c r="S403" i="2"/>
  <c r="S402" i="2"/>
  <c r="S401" i="2"/>
  <c r="S400" i="2"/>
  <c r="S399" i="2"/>
  <c r="S398" i="2"/>
  <c r="S397" i="2"/>
  <c r="S396" i="2"/>
  <c r="S395" i="2"/>
  <c r="S394" i="2"/>
  <c r="S393" i="2"/>
  <c r="S392" i="2"/>
  <c r="S391" i="2"/>
  <c r="S390" i="2"/>
  <c r="S389" i="2"/>
  <c r="S388" i="2"/>
  <c r="S387" i="2"/>
  <c r="S386" i="2"/>
  <c r="S385" i="2"/>
  <c r="S384" i="2"/>
  <c r="S383" i="2"/>
  <c r="S382" i="2"/>
  <c r="S381" i="2"/>
  <c r="S380" i="2"/>
  <c r="S379" i="2"/>
  <c r="S378" i="2"/>
  <c r="S377" i="2"/>
  <c r="S376" i="2"/>
  <c r="S375" i="2"/>
  <c r="S374" i="2"/>
  <c r="S373" i="2"/>
  <c r="S372" i="2"/>
  <c r="S371" i="2"/>
  <c r="S370" i="2"/>
  <c r="S369" i="2"/>
  <c r="S368" i="2"/>
  <c r="S367" i="2"/>
  <c r="S366" i="2"/>
  <c r="S365" i="2"/>
  <c r="S364" i="2"/>
  <c r="S363" i="2"/>
  <c r="S362" i="2"/>
  <c r="S361" i="2"/>
  <c r="S360" i="2"/>
  <c r="S359" i="2"/>
  <c r="S358" i="2"/>
  <c r="S357" i="2"/>
  <c r="S356" i="2"/>
  <c r="S355" i="2"/>
  <c r="S354" i="2"/>
  <c r="S353" i="2"/>
  <c r="S352" i="2"/>
  <c r="S351" i="2"/>
  <c r="S350" i="2"/>
  <c r="S349" i="2"/>
  <c r="S348" i="2"/>
  <c r="S347" i="2"/>
  <c r="S346" i="2"/>
  <c r="S345" i="2"/>
  <c r="S344" i="2"/>
  <c r="S343" i="2"/>
  <c r="S342" i="2"/>
  <c r="S341" i="2"/>
  <c r="S340" i="2"/>
  <c r="S339" i="2"/>
  <c r="S338" i="2"/>
  <c r="S337" i="2"/>
  <c r="S336" i="2"/>
  <c r="S335" i="2"/>
  <c r="S334" i="2"/>
  <c r="S333" i="2"/>
  <c r="S332" i="2"/>
  <c r="S331" i="2"/>
  <c r="S330" i="2"/>
  <c r="S329" i="2"/>
  <c r="S328" i="2"/>
  <c r="S327" i="2"/>
  <c r="S326" i="2"/>
  <c r="S325" i="2"/>
  <c r="S324" i="2"/>
  <c r="S323" i="2"/>
  <c r="S322" i="2"/>
  <c r="S321" i="2"/>
  <c r="S320" i="2"/>
  <c r="S319" i="2"/>
  <c r="S318" i="2"/>
  <c r="S317" i="2"/>
  <c r="S316" i="2"/>
  <c r="S315" i="2"/>
  <c r="S314" i="2"/>
  <c r="S313" i="2"/>
  <c r="S312" i="2"/>
  <c r="S311" i="2"/>
  <c r="S310" i="2"/>
  <c r="S309" i="2"/>
  <c r="S308" i="2"/>
  <c r="S307" i="2"/>
  <c r="S306" i="2"/>
  <c r="S305" i="2"/>
  <c r="S304" i="2"/>
  <c r="S303" i="2"/>
  <c r="S302" i="2"/>
  <c r="S301" i="2"/>
  <c r="S300" i="2"/>
  <c r="S299" i="2"/>
  <c r="S298" i="2"/>
  <c r="S297" i="2"/>
  <c r="S296" i="2"/>
  <c r="S295" i="2"/>
  <c r="S294" i="2"/>
  <c r="S293" i="2"/>
  <c r="S292" i="2"/>
  <c r="S291" i="2"/>
  <c r="S290" i="2"/>
  <c r="S289" i="2"/>
  <c r="S288" i="2"/>
  <c r="S287" i="2"/>
  <c r="S286" i="2"/>
  <c r="S285" i="2"/>
  <c r="S284" i="2"/>
  <c r="S283" i="2"/>
  <c r="S282" i="2"/>
  <c r="S281" i="2"/>
  <c r="S280" i="2"/>
  <c r="S279" i="2"/>
  <c r="S278" i="2"/>
  <c r="S277" i="2"/>
  <c r="S276" i="2"/>
  <c r="S275" i="2"/>
  <c r="S274" i="2"/>
  <c r="S273" i="2"/>
  <c r="S272" i="2"/>
  <c r="S271" i="2"/>
  <c r="S270" i="2"/>
  <c r="S269" i="2"/>
  <c r="S268" i="2"/>
  <c r="S267" i="2"/>
  <c r="S266" i="2"/>
  <c r="S265" i="2"/>
  <c r="S264" i="2"/>
  <c r="S263" i="2"/>
  <c r="S262" i="2"/>
  <c r="S261" i="2"/>
  <c r="S260" i="2"/>
  <c r="S259" i="2"/>
  <c r="S258" i="2"/>
  <c r="S257" i="2"/>
  <c r="S256" i="2"/>
  <c r="S255" i="2"/>
  <c r="S254" i="2"/>
  <c r="S253" i="2"/>
  <c r="S252" i="2"/>
  <c r="S251" i="2"/>
  <c r="S250" i="2"/>
  <c r="S249" i="2"/>
  <c r="S248" i="2"/>
  <c r="S247" i="2"/>
  <c r="S246" i="2"/>
  <c r="S245" i="2"/>
  <c r="S244" i="2"/>
  <c r="S243" i="2"/>
  <c r="S242" i="2"/>
  <c r="S241" i="2"/>
  <c r="S240" i="2"/>
  <c r="S239" i="2"/>
  <c r="S238" i="2"/>
  <c r="S237" i="2"/>
  <c r="S236" i="2"/>
  <c r="S235" i="2"/>
  <c r="S234" i="2"/>
  <c r="S233" i="2"/>
  <c r="S232" i="2"/>
  <c r="S231" i="2"/>
  <c r="S230" i="2"/>
  <c r="S229" i="2"/>
  <c r="S228" i="2"/>
  <c r="S227" i="2"/>
  <c r="S226" i="2"/>
  <c r="S225" i="2"/>
  <c r="S224" i="2"/>
  <c r="S223" i="2"/>
  <c r="S222" i="2"/>
  <c r="S221" i="2"/>
  <c r="S220" i="2"/>
  <c r="S219" i="2"/>
  <c r="S218" i="2"/>
  <c r="S217" i="2"/>
  <c r="S216" i="2"/>
  <c r="S215" i="2"/>
  <c r="S214" i="2"/>
  <c r="S213" i="2"/>
  <c r="S212" i="2"/>
  <c r="S211" i="2"/>
  <c r="S210" i="2"/>
  <c r="S209" i="2"/>
  <c r="S208" i="2"/>
  <c r="S207" i="2"/>
  <c r="S206" i="2"/>
  <c r="S205" i="2"/>
  <c r="S204" i="2"/>
  <c r="S203" i="2"/>
  <c r="S202" i="2"/>
  <c r="S201" i="2"/>
  <c r="S200" i="2"/>
  <c r="S199" i="2"/>
  <c r="S198" i="2"/>
  <c r="S197" i="2"/>
  <c r="S196" i="2"/>
  <c r="S195" i="2"/>
  <c r="S194" i="2"/>
  <c r="S193" i="2"/>
  <c r="S192" i="2"/>
  <c r="S191" i="2"/>
  <c r="S190" i="2"/>
  <c r="S189" i="2"/>
  <c r="S188" i="2"/>
  <c r="S187" i="2"/>
  <c r="S186" i="2"/>
  <c r="S185" i="2"/>
  <c r="S184" i="2"/>
  <c r="S183" i="2"/>
  <c r="S182" i="2"/>
  <c r="S181" i="2"/>
  <c r="S180" i="2"/>
  <c r="S179" i="2"/>
  <c r="S178" i="2"/>
  <c r="S177" i="2"/>
  <c r="S176" i="2"/>
  <c r="S175" i="2"/>
  <c r="S174" i="2"/>
  <c r="S173" i="2"/>
  <c r="S172" i="2"/>
  <c r="S171" i="2"/>
  <c r="S170" i="2"/>
  <c r="S169" i="2"/>
  <c r="S168" i="2"/>
  <c r="S167" i="2"/>
  <c r="S166" i="2"/>
  <c r="S165" i="2"/>
  <c r="S164" i="2"/>
  <c r="S163" i="2"/>
  <c r="S162" i="2"/>
  <c r="S161" i="2"/>
  <c r="S160" i="2"/>
  <c r="S159" i="2"/>
  <c r="S158" i="2"/>
  <c r="S157" i="2"/>
  <c r="S156" i="2"/>
  <c r="S155" i="2"/>
  <c r="S154" i="2"/>
  <c r="S153" i="2"/>
  <c r="S152" i="2"/>
  <c r="S151" i="2"/>
  <c r="S150" i="2"/>
  <c r="S149" i="2"/>
  <c r="S148" i="2"/>
  <c r="S147" i="2"/>
  <c r="S146" i="2"/>
  <c r="S145" i="2"/>
  <c r="S144" i="2"/>
  <c r="S143" i="2"/>
  <c r="S142" i="2"/>
  <c r="S141" i="2"/>
  <c r="S140" i="2"/>
  <c r="S139" i="2"/>
  <c r="S138" i="2"/>
  <c r="S137" i="2"/>
  <c r="S136" i="2"/>
  <c r="S135" i="2"/>
  <c r="S134" i="2"/>
  <c r="S133" i="2"/>
  <c r="S132" i="2"/>
  <c r="S131" i="2"/>
  <c r="S130" i="2"/>
  <c r="S129" i="2"/>
  <c r="S128" i="2"/>
  <c r="S127" i="2"/>
  <c r="S126" i="2"/>
  <c r="S125" i="2"/>
  <c r="S124" i="2"/>
  <c r="S123" i="2"/>
  <c r="S122" i="2"/>
  <c r="S121" i="2"/>
  <c r="S120" i="2"/>
  <c r="S119" i="2"/>
  <c r="S118" i="2"/>
  <c r="S117" i="2"/>
  <c r="S116" i="2"/>
  <c r="S115" i="2"/>
  <c r="S114" i="2"/>
  <c r="S113" i="2"/>
  <c r="S112" i="2"/>
  <c r="S111" i="2"/>
  <c r="S110" i="2"/>
  <c r="S109" i="2"/>
  <c r="S108" i="2"/>
  <c r="S107" i="2"/>
  <c r="S106" i="2"/>
  <c r="S105" i="2"/>
  <c r="S104" i="2"/>
  <c r="S103" i="2"/>
  <c r="S102" i="2"/>
  <c r="S101" i="2"/>
  <c r="S100" i="2"/>
  <c r="S99" i="2"/>
  <c r="S98" i="2"/>
  <c r="S97" i="2"/>
  <c r="S96" i="2"/>
  <c r="S95" i="2"/>
  <c r="S94" i="2"/>
  <c r="S93" i="2"/>
  <c r="S92" i="2"/>
  <c r="S91" i="2"/>
  <c r="S90" i="2"/>
  <c r="S89" i="2"/>
  <c r="S88" i="2"/>
  <c r="S87" i="2"/>
  <c r="S86" i="2"/>
  <c r="S85" i="2"/>
  <c r="S84" i="2"/>
  <c r="S83" i="2"/>
  <c r="S82" i="2"/>
  <c r="S81" i="2"/>
  <c r="S80" i="2"/>
  <c r="S79" i="2"/>
  <c r="S78" i="2"/>
  <c r="S77" i="2"/>
  <c r="S76" i="2"/>
  <c r="S75" i="2"/>
  <c r="S74" i="2"/>
  <c r="S73" i="2"/>
  <c r="S72" i="2"/>
  <c r="S71" i="2"/>
  <c r="S70" i="2"/>
  <c r="S69" i="2"/>
  <c r="S68" i="2"/>
  <c r="S67" i="2"/>
  <c r="S66" i="2"/>
  <c r="S65" i="2"/>
  <c r="S64" i="2"/>
  <c r="S63" i="2"/>
  <c r="S62" i="2"/>
  <c r="S61" i="2"/>
  <c r="S60" i="2"/>
  <c r="S59" i="2"/>
  <c r="S58" i="2"/>
  <c r="S57" i="2"/>
  <c r="S56" i="2"/>
  <c r="S55" i="2"/>
  <c r="S54" i="2"/>
  <c r="S53" i="2"/>
  <c r="S52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S28" i="2"/>
  <c r="S27" i="2"/>
  <c r="S26" i="2"/>
  <c r="S25" i="2"/>
  <c r="S24" i="2"/>
  <c r="S23" i="2"/>
  <c r="S537" i="2"/>
  <c r="S536" i="2"/>
  <c r="S535" i="2"/>
  <c r="S534" i="2"/>
  <c r="J537" i="2"/>
  <c r="J536" i="2"/>
  <c r="J535" i="2"/>
  <c r="J534" i="2"/>
  <c r="I30" i="9" l="1"/>
  <c r="Z48" i="26" l="1"/>
  <c r="Z50" i="26"/>
  <c r="P49" i="26"/>
  <c r="P48" i="26"/>
  <c r="P50" i="26"/>
  <c r="Z49" i="26"/>
  <c r="Z31" i="26"/>
  <c r="W25" i="25"/>
  <c r="N31" i="25"/>
  <c r="P29" i="26"/>
  <c r="W31" i="25"/>
  <c r="N50" i="25"/>
  <c r="W33" i="25"/>
  <c r="P33" i="26"/>
  <c r="W50" i="25"/>
  <c r="N32" i="25"/>
  <c r="Z30" i="26"/>
  <c r="W26" i="25"/>
  <c r="N30" i="25"/>
  <c r="P28" i="26"/>
  <c r="Z29" i="26"/>
  <c r="W27" i="25"/>
  <c r="N29" i="25"/>
  <c r="P27" i="26"/>
  <c r="Z28" i="26"/>
  <c r="W28" i="25"/>
  <c r="N28" i="25"/>
  <c r="Z28" i="25" s="1"/>
  <c r="P26" i="26"/>
  <c r="Z27" i="26"/>
  <c r="W29" i="25"/>
  <c r="N27" i="25"/>
  <c r="P25" i="26"/>
  <c r="Z26" i="26"/>
  <c r="W30" i="25"/>
  <c r="N26" i="25"/>
  <c r="P24" i="26"/>
  <c r="Z25" i="26"/>
  <c r="N49" i="25"/>
  <c r="N25" i="25"/>
  <c r="W32" i="25"/>
  <c r="N24" i="25"/>
  <c r="N48" i="25"/>
  <c r="W49" i="25"/>
  <c r="W24" i="25"/>
  <c r="P32" i="26"/>
  <c r="Z33" i="26"/>
  <c r="N33" i="25"/>
  <c r="P31" i="26"/>
  <c r="Z32" i="26"/>
  <c r="W48" i="25"/>
  <c r="P30" i="26"/>
  <c r="AJ33" i="4"/>
  <c r="AJ41" i="4"/>
  <c r="V60" i="4"/>
  <c r="V28" i="4"/>
  <c r="V23" i="4"/>
  <c r="AJ27" i="4"/>
  <c r="AJ42" i="4"/>
  <c r="AJ62" i="4"/>
  <c r="AJ35" i="4"/>
  <c r="V34" i="4"/>
  <c r="AJ39" i="4"/>
  <c r="V38" i="4"/>
  <c r="AJ40" i="4"/>
  <c r="V29" i="4"/>
  <c r="V37" i="4"/>
  <c r="V24" i="4"/>
  <c r="V42" i="4"/>
  <c r="V30" i="4"/>
  <c r="AJ61" i="4"/>
  <c r="AJ30" i="4"/>
  <c r="AJ29" i="4"/>
  <c r="AJ31" i="4"/>
  <c r="V27" i="4"/>
  <c r="V40" i="4"/>
  <c r="AJ38" i="4"/>
  <c r="V25" i="4"/>
  <c r="V62" i="4"/>
  <c r="AJ28" i="4"/>
  <c r="AJ34" i="4"/>
  <c r="AJ32" i="4"/>
  <c r="V39" i="4"/>
  <c r="V36" i="4"/>
  <c r="AJ59" i="4"/>
  <c r="V31" i="4"/>
  <c r="AJ26" i="4"/>
  <c r="AJ25" i="4"/>
  <c r="V35" i="4"/>
  <c r="V59" i="4"/>
  <c r="AJ36" i="4"/>
  <c r="AJ24" i="4"/>
  <c r="V41" i="4"/>
  <c r="V33" i="4"/>
  <c r="V32" i="4"/>
  <c r="AJ60" i="4"/>
  <c r="AJ37" i="4"/>
  <c r="V61" i="4"/>
  <c r="V26" i="4"/>
  <c r="L30" i="2"/>
  <c r="L70" i="2"/>
  <c r="L152" i="2"/>
  <c r="L253" i="2"/>
  <c r="L293" i="2"/>
  <c r="L350" i="2"/>
  <c r="L357" i="2"/>
  <c r="L410" i="2"/>
  <c r="L21" i="2"/>
  <c r="L390" i="2"/>
  <c r="L71" i="2"/>
  <c r="L94" i="2"/>
  <c r="L225" i="2"/>
  <c r="L288" i="2"/>
  <c r="L323" i="2"/>
  <c r="L129" i="2"/>
  <c r="L192" i="2"/>
  <c r="L262" i="2"/>
  <c r="L444" i="2"/>
  <c r="L23" i="2"/>
  <c r="L45" i="2"/>
  <c r="L76" i="2"/>
  <c r="L85" i="2"/>
  <c r="L128" i="2"/>
  <c r="L159" i="2"/>
  <c r="L247" i="2"/>
  <c r="L261" i="2"/>
  <c r="L287" i="2"/>
  <c r="L299" i="2"/>
  <c r="L336" i="2"/>
  <c r="L343" i="2"/>
  <c r="L469" i="2"/>
  <c r="L232" i="2"/>
  <c r="L254" i="2"/>
  <c r="L499" i="2"/>
  <c r="L41" i="2"/>
  <c r="L101" i="2"/>
  <c r="L184" i="2"/>
  <c r="L199" i="2"/>
  <c r="L294" i="2"/>
  <c r="L330" i="2"/>
  <c r="L379" i="2"/>
  <c r="L385" i="2"/>
  <c r="L411" i="2"/>
  <c r="L451" i="2"/>
  <c r="L64" i="2"/>
  <c r="L216" i="2"/>
  <c r="L248" i="2"/>
  <c r="L317" i="2"/>
  <c r="L365" i="2"/>
  <c r="L406" i="2"/>
  <c r="L437" i="2"/>
  <c r="L457" i="2"/>
  <c r="L464" i="2"/>
  <c r="L226" i="2"/>
  <c r="L255" i="2"/>
  <c r="L283" i="2"/>
  <c r="L289" i="2"/>
  <c r="L295" i="2"/>
  <c r="L392" i="2"/>
  <c r="L485" i="2"/>
  <c r="L58" i="2"/>
  <c r="L162" i="2"/>
  <c r="L92" i="2"/>
  <c r="L211" i="2"/>
  <c r="L285" i="2"/>
  <c r="L431" i="2"/>
  <c r="L169" i="2"/>
  <c r="L194" i="2"/>
  <c r="L325" i="2"/>
  <c r="L341" i="2"/>
  <c r="L455" i="2"/>
  <c r="L163" i="2"/>
  <c r="L187" i="2"/>
  <c r="L302" i="2"/>
  <c r="L399" i="2"/>
  <c r="L414" i="2"/>
  <c r="L156" i="2"/>
  <c r="L170" i="2"/>
  <c r="L267" i="2"/>
  <c r="L310" i="2"/>
  <c r="L43" i="2"/>
  <c r="L149" i="2"/>
  <c r="L180" i="2"/>
  <c r="L188" i="2"/>
  <c r="L250" i="2"/>
  <c r="L320" i="2"/>
  <c r="L409" i="2"/>
  <c r="L37" i="2"/>
  <c r="L164" i="2"/>
  <c r="L260" i="2"/>
  <c r="L386" i="2"/>
  <c r="L509" i="2"/>
  <c r="L44" i="2"/>
  <c r="L132" i="2"/>
  <c r="L297" i="2"/>
  <c r="L374" i="2"/>
  <c r="L402" i="2"/>
  <c r="L465" i="2"/>
  <c r="L502" i="2"/>
  <c r="L243" i="2"/>
  <c r="L360" i="2"/>
  <c r="L381" i="2"/>
  <c r="L473" i="2"/>
  <c r="L388" i="2"/>
  <c r="L115" i="2"/>
  <c r="L126" i="2"/>
  <c r="L367" i="2"/>
  <c r="L22" i="2"/>
  <c r="L355" i="2"/>
  <c r="L474" i="2"/>
  <c r="L481" i="2"/>
  <c r="L220" i="2"/>
  <c r="L230" i="2"/>
  <c r="L413" i="2"/>
  <c r="L420" i="2"/>
  <c r="L438" i="2"/>
  <c r="L377" i="2"/>
  <c r="L361" i="2"/>
  <c r="L304" i="2"/>
  <c r="L439" i="2"/>
  <c r="L98" i="2"/>
  <c r="L493" i="2"/>
  <c r="L344" i="2"/>
  <c r="L351" i="2"/>
  <c r="L24" i="2"/>
  <c r="L93" i="2"/>
  <c r="L139" i="2"/>
  <c r="L372" i="2"/>
  <c r="L219" i="2"/>
  <c r="L446" i="2"/>
  <c r="L491" i="2"/>
  <c r="L79" i="2"/>
  <c r="L49" i="2"/>
  <c r="L313" i="2"/>
  <c r="L380" i="2"/>
  <c r="L468" i="2"/>
  <c r="L324" i="2"/>
  <c r="L214" i="2"/>
  <c r="L353" i="2"/>
  <c r="L142" i="2"/>
  <c r="L108" i="2"/>
  <c r="L60" i="2"/>
  <c r="L393" i="2"/>
  <c r="L425" i="2"/>
  <c r="L102" i="2"/>
  <c r="L275" i="2"/>
  <c r="L480" i="2"/>
  <c r="L52" i="2"/>
  <c r="L213" i="2"/>
  <c r="L112" i="2"/>
  <c r="L308" i="2"/>
  <c r="L191" i="2"/>
  <c r="L280" i="2"/>
  <c r="L511" i="2"/>
  <c r="L333" i="2"/>
  <c r="L421" i="2"/>
  <c r="L340" i="2"/>
  <c r="L113" i="2"/>
  <c r="L157" i="2"/>
  <c r="L36" i="2"/>
  <c r="L221" i="2"/>
  <c r="L368" i="2"/>
  <c r="L459" i="2"/>
  <c r="L238" i="2"/>
  <c r="L403" i="2"/>
  <c r="L508" i="2"/>
  <c r="L270" i="2"/>
  <c r="L207" i="2"/>
  <c r="L352" i="2"/>
  <c r="L401" i="2"/>
  <c r="L205" i="2"/>
  <c r="L394" i="2"/>
  <c r="L305" i="2"/>
  <c r="L176" i="2"/>
  <c r="L69" i="2"/>
  <c r="L312" i="2"/>
  <c r="L318" i="2"/>
  <c r="L127" i="2"/>
  <c r="L228" i="2"/>
  <c r="L383" i="2"/>
  <c r="L252" i="2"/>
  <c r="L434" i="2"/>
  <c r="L59" i="2"/>
  <c r="L80" i="2"/>
  <c r="L234" i="2"/>
  <c r="L136" i="2"/>
  <c r="L240" i="2"/>
  <c r="L504" i="2"/>
  <c r="L251" i="2"/>
  <c r="L482" i="2"/>
  <c r="L181" i="2"/>
  <c r="L106" i="2"/>
  <c r="L86" i="2"/>
  <c r="L27" i="2"/>
  <c r="L519" i="2"/>
  <c r="L125" i="2"/>
  <c r="L56" i="2"/>
  <c r="L281" i="2"/>
  <c r="L249" i="2"/>
  <c r="L242" i="2"/>
  <c r="L319" i="2"/>
  <c r="L143" i="2"/>
  <c r="L46" i="2"/>
  <c r="L291" i="2"/>
  <c r="L118" i="2"/>
  <c r="L95" i="2"/>
  <c r="L362" i="2"/>
  <c r="L227" i="2"/>
  <c r="L335" i="2"/>
  <c r="L448" i="2"/>
  <c r="L73" i="2"/>
  <c r="L185" i="2"/>
  <c r="L483" i="2"/>
  <c r="L206" i="2"/>
  <c r="L441" i="2"/>
  <c r="L514" i="2"/>
  <c r="L382" i="2"/>
  <c r="L466" i="2"/>
  <c r="L332" i="2"/>
  <c r="L196" i="2"/>
  <c r="L494" i="2"/>
  <c r="L277" i="2"/>
  <c r="L116" i="2"/>
  <c r="L256" i="2"/>
  <c r="L284" i="2"/>
  <c r="L235" i="2"/>
  <c r="L89" i="2"/>
  <c r="L186" i="2"/>
  <c r="L345" i="2"/>
  <c r="L259" i="2"/>
  <c r="L298" i="2"/>
  <c r="L274" i="2"/>
  <c r="L29" i="2"/>
  <c r="L239" i="2"/>
  <c r="L50" i="2"/>
  <c r="L130" i="2"/>
  <c r="L107" i="2"/>
  <c r="L328" i="2"/>
  <c r="L407" i="2"/>
  <c r="L66" i="2"/>
  <c r="L154" i="2"/>
  <c r="L476" i="2"/>
  <c r="L198" i="2"/>
  <c r="L396" i="2"/>
  <c r="L520" i="2"/>
  <c r="L443" i="2"/>
  <c r="L488" i="2"/>
  <c r="L449" i="2"/>
  <c r="L212" i="2"/>
  <c r="L462" i="2"/>
  <c r="L512" i="2"/>
  <c r="L273" i="2"/>
  <c r="L272" i="2"/>
  <c r="L442" i="2"/>
  <c r="L217" i="2"/>
  <c r="L484" i="2"/>
  <c r="L167" i="2"/>
  <c r="L174" i="2"/>
  <c r="L172" i="2"/>
  <c r="L233" i="2"/>
  <c r="L135" i="2"/>
  <c r="L264" i="2"/>
  <c r="L54" i="2"/>
  <c r="L224" i="2"/>
  <c r="L104" i="2"/>
  <c r="L74" i="2"/>
  <c r="L229" i="2"/>
  <c r="L452" i="2"/>
  <c r="L121" i="2"/>
  <c r="L463" i="2"/>
  <c r="L31" i="2"/>
  <c r="L378" i="2"/>
  <c r="L326" i="2"/>
  <c r="L245" i="2"/>
  <c r="L339" i="2"/>
  <c r="L395" i="2"/>
  <c r="L84" i="2"/>
  <c r="L487" i="2"/>
  <c r="L32" i="2"/>
  <c r="L387" i="2"/>
  <c r="L503" i="2"/>
  <c r="L496" i="2"/>
  <c r="L110" i="2"/>
  <c r="L269" i="2"/>
  <c r="L331" i="2"/>
  <c r="L179" i="2"/>
  <c r="L151" i="2"/>
  <c r="L258" i="2"/>
  <c r="L265" i="2"/>
  <c r="L271" i="2"/>
  <c r="L96" i="2"/>
  <c r="L316" i="2"/>
  <c r="L28" i="2"/>
  <c r="L203" i="2"/>
  <c r="L177" i="2"/>
  <c r="L72" i="2"/>
  <c r="L427" i="2"/>
  <c r="L301" i="2"/>
  <c r="L363" i="2"/>
  <c r="L337" i="2"/>
  <c r="L389" i="2"/>
  <c r="L471" i="2"/>
  <c r="L237" i="2"/>
  <c r="L458" i="2"/>
  <c r="L292" i="2"/>
  <c r="L376" i="2"/>
  <c r="L334" i="2"/>
  <c r="L432" i="2"/>
  <c r="L415" i="2"/>
  <c r="L81" i="2"/>
  <c r="L435" i="2"/>
  <c r="L489" i="2"/>
  <c r="L236" i="2"/>
  <c r="L153" i="2"/>
  <c r="L100" i="2"/>
  <c r="L91" i="2"/>
  <c r="L133" i="2"/>
  <c r="L311" i="2"/>
  <c r="L490" i="2"/>
  <c r="L114" i="2"/>
  <c r="L516" i="2"/>
  <c r="L266" i="2"/>
  <c r="L354" i="2"/>
  <c r="L87" i="2"/>
  <c r="L450" i="2"/>
  <c r="L500" i="2"/>
  <c r="L370" i="2"/>
  <c r="L400" i="2"/>
  <c r="L456" i="2"/>
  <c r="L513" i="2"/>
  <c r="L257" i="2"/>
  <c r="L145" i="2"/>
  <c r="L492" i="2"/>
  <c r="L472" i="2"/>
  <c r="L418" i="2"/>
  <c r="L327" i="2"/>
  <c r="L279" i="2"/>
  <c r="L111" i="2"/>
  <c r="L34" i="2"/>
  <c r="L223" i="2"/>
  <c r="L173" i="2"/>
  <c r="L138" i="2"/>
  <c r="L433" i="2"/>
  <c r="L150" i="2"/>
  <c r="L158" i="2"/>
  <c r="L454" i="2"/>
  <c r="L119" i="2"/>
  <c r="L53" i="2"/>
  <c r="L209" i="2"/>
  <c r="L306" i="2"/>
  <c r="L445" i="2"/>
  <c r="L349" i="2"/>
  <c r="L417" i="2"/>
  <c r="L182" i="2"/>
  <c r="L416" i="2"/>
  <c r="L498" i="2"/>
  <c r="L366" i="2"/>
  <c r="L300" i="2"/>
  <c r="L398" i="2"/>
  <c r="L202" i="2"/>
  <c r="L67" i="2"/>
  <c r="L47" i="2"/>
  <c r="L103" i="2"/>
  <c r="L347" i="2"/>
  <c r="L356" i="2"/>
  <c r="L404" i="2"/>
  <c r="L506" i="2"/>
  <c r="L48" i="2"/>
  <c r="L105" i="2"/>
  <c r="L309" i="2"/>
  <c r="L263" i="2"/>
  <c r="L35" i="2"/>
  <c r="L148" i="2"/>
  <c r="L315" i="2"/>
  <c r="L62" i="2"/>
  <c r="L171" i="2"/>
  <c r="L55" i="2"/>
  <c r="L134" i="2"/>
  <c r="L497" i="2"/>
  <c r="L348" i="2"/>
  <c r="L384" i="2"/>
  <c r="L358" i="2"/>
  <c r="L486" i="2"/>
  <c r="L282" i="2"/>
  <c r="L515" i="2"/>
  <c r="L140" i="2"/>
  <c r="L419" i="2"/>
  <c r="L373" i="2"/>
  <c r="L68" i="2"/>
  <c r="L201" i="2"/>
  <c r="L200" i="2"/>
  <c r="L82" i="2"/>
  <c r="L375" i="2"/>
  <c r="L276" i="2"/>
  <c r="L371" i="2"/>
  <c r="L65" i="2"/>
  <c r="L346" i="2"/>
  <c r="L461" i="2"/>
  <c r="L78" i="2"/>
  <c r="L144" i="2"/>
  <c r="L423" i="2"/>
  <c r="L307" i="2"/>
  <c r="L189" i="2"/>
  <c r="L244" i="2"/>
  <c r="L518" i="2"/>
  <c r="L178" i="2"/>
  <c r="L364" i="2"/>
  <c r="L215" i="2"/>
  <c r="L505" i="2"/>
  <c r="L422" i="2"/>
  <c r="L57" i="2"/>
  <c r="L88" i="2"/>
  <c r="L63" i="2"/>
  <c r="L123" i="2"/>
  <c r="L39" i="2"/>
  <c r="L218" i="2"/>
  <c r="L33" i="2"/>
  <c r="L321" i="2"/>
  <c r="L168" i="2"/>
  <c r="L470" i="2"/>
  <c r="L478" i="2"/>
  <c r="L286" i="2"/>
  <c r="L475" i="2"/>
  <c r="L408" i="2"/>
  <c r="L26" i="2"/>
  <c r="L183" i="2"/>
  <c r="L208" i="2"/>
  <c r="L290" i="2"/>
  <c r="L122" i="2"/>
  <c r="L391" i="2"/>
  <c r="L460" i="2"/>
  <c r="L222" i="2"/>
  <c r="L278" i="2"/>
  <c r="L160" i="2"/>
  <c r="L501" i="2"/>
  <c r="L429" i="2"/>
  <c r="L38" i="2"/>
  <c r="L447" i="2"/>
  <c r="L83" i="2"/>
  <c r="L161" i="2"/>
  <c r="L146" i="2"/>
  <c r="L329" i="2"/>
  <c r="L42" i="2"/>
  <c r="L241" i="2"/>
  <c r="L424" i="2"/>
  <c r="L204" i="2"/>
  <c r="L440" i="2"/>
  <c r="L426" i="2"/>
  <c r="L124" i="2"/>
  <c r="L137" i="2"/>
  <c r="L97" i="2"/>
  <c r="L75" i="2"/>
  <c r="L141" i="2"/>
  <c r="L61" i="2"/>
  <c r="L342" i="2"/>
  <c r="L507" i="2"/>
  <c r="L175" i="2"/>
  <c r="L314" i="2"/>
  <c r="L197" i="2"/>
  <c r="L369" i="2"/>
  <c r="L428" i="2"/>
  <c r="L193" i="2"/>
  <c r="L246" i="2"/>
  <c r="L479" i="2"/>
  <c r="L25" i="2"/>
  <c r="L131" i="2"/>
  <c r="L303" i="2"/>
  <c r="L477" i="2"/>
  <c r="L322" i="2"/>
  <c r="L495" i="2"/>
  <c r="L190" i="2"/>
  <c r="L517" i="2"/>
  <c r="L109" i="2"/>
  <c r="L359" i="2"/>
  <c r="L195" i="2"/>
  <c r="L210" i="2"/>
  <c r="L436" i="2"/>
  <c r="L120" i="2"/>
  <c r="L296" i="2"/>
  <c r="L397" i="2"/>
  <c r="L268" i="2"/>
  <c r="L510" i="2"/>
  <c r="L165" i="2"/>
  <c r="L166" i="2"/>
  <c r="L99" i="2"/>
  <c r="L405" i="2"/>
  <c r="L412" i="2"/>
  <c r="L117" i="2"/>
  <c r="L467" i="2"/>
  <c r="L51" i="2"/>
  <c r="L77" i="2"/>
  <c r="L231" i="2"/>
  <c r="L147" i="2"/>
  <c r="L453" i="2"/>
  <c r="L338" i="2"/>
  <c r="L430" i="2"/>
  <c r="L40" i="2"/>
  <c r="L155" i="2"/>
  <c r="L90" i="2"/>
  <c r="G6" i="1"/>
  <c r="G12" i="1" s="1"/>
  <c r="Y21" i="8"/>
  <c r="N21" i="8"/>
  <c r="AC50" i="26" l="1"/>
  <c r="AA24" i="26"/>
  <c r="AB24" i="26"/>
  <c r="AB23" i="26" s="1"/>
  <c r="G5" i="26" s="1"/>
  <c r="Y23" i="26"/>
  <c r="F5" i="26" s="1"/>
  <c r="Z24" i="26"/>
  <c r="AC24" i="26" s="1"/>
  <c r="AN59" i="4"/>
  <c r="AN61" i="4"/>
  <c r="Z25" i="25"/>
  <c r="AC33" i="26"/>
  <c r="AC49" i="26"/>
  <c r="AC48" i="26"/>
  <c r="P47" i="26"/>
  <c r="AC26" i="26"/>
  <c r="Z47" i="26"/>
  <c r="AC31" i="26"/>
  <c r="AC29" i="26"/>
  <c r="AC30" i="26"/>
  <c r="AC27" i="26"/>
  <c r="AN23" i="4"/>
  <c r="W23" i="25"/>
  <c r="F6" i="25" s="1"/>
  <c r="Z31" i="25"/>
  <c r="N23" i="25"/>
  <c r="E6" i="25" s="1"/>
  <c r="Z24" i="25"/>
  <c r="P23" i="26"/>
  <c r="E6" i="26" s="1"/>
  <c r="Z26" i="25"/>
  <c r="AC25" i="26"/>
  <c r="AC28" i="26"/>
  <c r="Z32" i="25"/>
  <c r="Z33" i="25"/>
  <c r="Z29" i="25"/>
  <c r="AC32" i="26"/>
  <c r="AN62" i="4"/>
  <c r="AN60" i="4"/>
  <c r="N47" i="25"/>
  <c r="Z27" i="25"/>
  <c r="Z30" i="25"/>
  <c r="A1" i="8"/>
  <c r="A1" i="7"/>
  <c r="A1" i="5"/>
  <c r="A1" i="4"/>
  <c r="AC47" i="26" l="1"/>
  <c r="Z23" i="26"/>
  <c r="F6" i="26" s="1"/>
  <c r="AD24" i="26"/>
  <c r="AD23" i="26" s="1"/>
  <c r="G7" i="26" s="1"/>
  <c r="AA23" i="26"/>
  <c r="F7" i="26" s="1"/>
  <c r="AC23" i="26"/>
  <c r="G6" i="26" s="1"/>
  <c r="Z23" i="25"/>
  <c r="G6" i="25" s="1"/>
  <c r="P47" i="5"/>
  <c r="AD47" i="5" s="1"/>
  <c r="D58" i="4" l="1"/>
  <c r="G20" i="8" l="1"/>
  <c r="D20" i="8"/>
  <c r="D39" i="7" l="1"/>
  <c r="S39" i="7"/>
  <c r="U20" i="8" l="1"/>
  <c r="T20" i="8"/>
  <c r="Q20" i="8"/>
  <c r="K7" i="8" s="1"/>
  <c r="L7" i="8" s="1"/>
  <c r="H20" i="8"/>
  <c r="S19" i="7"/>
  <c r="D19" i="7"/>
  <c r="V42" i="8"/>
  <c r="L42" i="8"/>
  <c r="W42" i="8" s="1"/>
  <c r="I42" i="8"/>
  <c r="V41" i="8"/>
  <c r="L41" i="8"/>
  <c r="W41" i="8" s="1"/>
  <c r="I41" i="8"/>
  <c r="Q40" i="8"/>
  <c r="H40" i="8"/>
  <c r="G40" i="8"/>
  <c r="D40" i="8"/>
  <c r="L30" i="8"/>
  <c r="W30" i="8" s="1"/>
  <c r="L29" i="8"/>
  <c r="W29" i="8" s="1"/>
  <c r="L28" i="8"/>
  <c r="W28" i="8" s="1"/>
  <c r="L27" i="8"/>
  <c r="W27" i="8" s="1"/>
  <c r="L26" i="8"/>
  <c r="W26" i="8" s="1"/>
  <c r="L25" i="8"/>
  <c r="W25" i="8" s="1"/>
  <c r="L24" i="8"/>
  <c r="W24" i="8" s="1"/>
  <c r="L23" i="8"/>
  <c r="W23" i="8" s="1"/>
  <c r="L22" i="8"/>
  <c r="W22" i="8" s="1"/>
  <c r="M7" i="7" l="1"/>
  <c r="K3" i="8"/>
  <c r="Z42" i="8"/>
  <c r="Z41" i="8"/>
  <c r="O41" i="8"/>
  <c r="M40" i="8"/>
  <c r="O42" i="8"/>
  <c r="AA42" i="8" l="1"/>
  <c r="AA41" i="8"/>
  <c r="AC41" i="8"/>
  <c r="X40" i="8"/>
  <c r="AC42" i="8"/>
  <c r="O40" i="8"/>
  <c r="Z40" i="8"/>
  <c r="AA40" i="8" l="1"/>
  <c r="AC40" i="8"/>
  <c r="L3" i="7" l="1"/>
  <c r="W42" i="7" l="1"/>
  <c r="X42" i="7" s="1"/>
  <c r="N42" i="7"/>
  <c r="AA42" i="7" s="1"/>
  <c r="H42" i="7"/>
  <c r="I42" i="7" s="1"/>
  <c r="W41" i="7"/>
  <c r="X41" i="7" s="1"/>
  <c r="N41" i="7"/>
  <c r="AA41" i="7" s="1"/>
  <c r="H41" i="7"/>
  <c r="I41" i="7" s="1"/>
  <c r="N40" i="7"/>
  <c r="H40" i="7"/>
  <c r="I40" i="7" s="1"/>
  <c r="P51" i="5"/>
  <c r="AA51" i="5"/>
  <c r="O39" i="7" l="1"/>
  <c r="AD51" i="5"/>
  <c r="AE51" i="5"/>
  <c r="AF51" i="5" s="1"/>
  <c r="AG51" i="5" s="1"/>
  <c r="AE41" i="7"/>
  <c r="AA40" i="7"/>
  <c r="Q41" i="7"/>
  <c r="Q42" i="7"/>
  <c r="R51" i="5"/>
  <c r="P50" i="5"/>
  <c r="AD50" i="5" s="1"/>
  <c r="AA49" i="5"/>
  <c r="Q40" i="7" l="1"/>
  <c r="Q39" i="7" s="1"/>
  <c r="R50" i="5"/>
  <c r="AD42" i="7"/>
  <c r="AG42" i="7" s="1"/>
  <c r="AE42" i="7"/>
  <c r="AD41" i="7"/>
  <c r="AG41" i="7" s="1"/>
  <c r="T51" i="5"/>
  <c r="AE40" i="7" l="1"/>
  <c r="AE39" i="7" s="1"/>
  <c r="AB39" i="7"/>
  <c r="AD40" i="7"/>
  <c r="AG40" i="7" l="1"/>
  <c r="AG39" i="7" s="1"/>
  <c r="AD39" i="7"/>
  <c r="V46" i="5"/>
  <c r="V22" i="5"/>
  <c r="D46" i="5"/>
  <c r="T50" i="5" l="1"/>
  <c r="P8" i="5"/>
  <c r="O8" i="5"/>
  <c r="P9" i="5"/>
  <c r="O9" i="5"/>
  <c r="M3" i="5" l="1"/>
  <c r="Q7" i="5"/>
  <c r="J49" i="5"/>
  <c r="Q49" i="5" s="1"/>
  <c r="AF49" i="5" s="1"/>
  <c r="AG49" i="5" s="1"/>
  <c r="P49" i="5" l="1"/>
  <c r="AD49" i="5" s="1"/>
  <c r="P48" i="5"/>
  <c r="AD48" i="5" s="1"/>
  <c r="R47" i="5"/>
  <c r="AI45" i="5"/>
  <c r="AF45" i="5"/>
  <c r="AB45" i="5"/>
  <c r="R45" i="5"/>
  <c r="K45" i="5"/>
  <c r="P22" i="4"/>
  <c r="O22" i="4"/>
  <c r="N22" i="4"/>
  <c r="J22" i="4"/>
  <c r="I22" i="4"/>
  <c r="H22" i="4"/>
  <c r="D22" i="4"/>
  <c r="R48" i="5" l="1"/>
  <c r="R49" i="5" l="1"/>
  <c r="T47" i="5"/>
  <c r="T48" i="5"/>
  <c r="E13" i="9"/>
  <c r="J13" i="9"/>
  <c r="I13" i="9"/>
  <c r="T49" i="5" l="1"/>
  <c r="S51" i="5"/>
  <c r="AJ51" i="5" s="1"/>
  <c r="T46" i="5"/>
  <c r="S46" i="5" l="1"/>
  <c r="AG58" i="4"/>
  <c r="AF58" i="4"/>
  <c r="AE58" i="4"/>
  <c r="AD58" i="4"/>
  <c r="AC58" i="4"/>
  <c r="AB58" i="4"/>
  <c r="Y58" i="4"/>
  <c r="P58" i="4"/>
  <c r="O58" i="4"/>
  <c r="N58" i="4"/>
  <c r="J58" i="4"/>
  <c r="I58" i="4"/>
  <c r="H58" i="4"/>
  <c r="AG22" i="4" l="1"/>
  <c r="AF22" i="4"/>
  <c r="AE22" i="4"/>
  <c r="AD22" i="4"/>
  <c r="AC22" i="4"/>
  <c r="AB22" i="4"/>
  <c r="D20" i="2"/>
  <c r="O20" i="2"/>
  <c r="T21" i="2"/>
  <c r="K7" i="2" l="1"/>
  <c r="M7" i="2" s="1"/>
  <c r="V21" i="2"/>
  <c r="D532" i="2"/>
  <c r="O532" i="2"/>
  <c r="K534" i="2"/>
  <c r="T535" i="2"/>
  <c r="T536" i="2"/>
  <c r="K537" i="2"/>
  <c r="K3" i="2" l="1"/>
  <c r="K533" i="2"/>
  <c r="T533" i="2"/>
  <c r="Y21" i="2"/>
  <c r="W21" i="2"/>
  <c r="T537" i="2"/>
  <c r="W537" i="2" s="1"/>
  <c r="M537" i="2"/>
  <c r="K535" i="2"/>
  <c r="W535" i="2" s="1"/>
  <c r="T534" i="2"/>
  <c r="K536" i="2"/>
  <c r="V536" i="2"/>
  <c r="V535" i="2"/>
  <c r="M534" i="2"/>
  <c r="W533" i="2" l="1"/>
  <c r="M533" i="2"/>
  <c r="W536" i="2"/>
  <c r="V537" i="2"/>
  <c r="Y537" i="2" s="1"/>
  <c r="M536" i="2"/>
  <c r="Y536" i="2" s="1"/>
  <c r="K532" i="2"/>
  <c r="W534" i="2"/>
  <c r="V534" i="2"/>
  <c r="Y534" i="2" s="1"/>
  <c r="M535" i="2"/>
  <c r="Y535" i="2" s="1"/>
  <c r="T532" i="2"/>
  <c r="V533" i="2"/>
  <c r="W532" i="2" l="1"/>
  <c r="M532" i="2"/>
  <c r="V532" i="2"/>
  <c r="Y533" i="2"/>
  <c r="Y532" i="2" s="1"/>
  <c r="I23" i="8" l="1"/>
  <c r="AI21" i="5" l="1"/>
  <c r="H20" i="7" l="1"/>
  <c r="I20" i="7" s="1"/>
  <c r="O20" i="7" s="1"/>
  <c r="P20" i="7" l="1"/>
  <c r="J30" i="9"/>
  <c r="E30" i="9"/>
  <c r="J29" i="9"/>
  <c r="I29" i="9"/>
  <c r="E29" i="9"/>
  <c r="J28" i="9"/>
  <c r="I28" i="9"/>
  <c r="E28" i="9"/>
  <c r="J27" i="9"/>
  <c r="I27" i="9"/>
  <c r="E27" i="9"/>
  <c r="J26" i="9"/>
  <c r="I26" i="9"/>
  <c r="E26" i="9"/>
  <c r="J25" i="9"/>
  <c r="E25" i="9"/>
  <c r="J24" i="9"/>
  <c r="I24" i="9"/>
  <c r="J23" i="9"/>
  <c r="I23" i="9"/>
  <c r="E23" i="9"/>
  <c r="J22" i="9"/>
  <c r="I22" i="9"/>
  <c r="E22" i="9"/>
  <c r="J21" i="9"/>
  <c r="I21" i="9"/>
  <c r="E21" i="9"/>
  <c r="J20" i="9"/>
  <c r="I20" i="9"/>
  <c r="E20" i="9"/>
  <c r="J19" i="9"/>
  <c r="I19" i="9"/>
  <c r="E19" i="9"/>
  <c r="J18" i="9"/>
  <c r="I18" i="9"/>
  <c r="E18" i="9"/>
  <c r="J17" i="9"/>
  <c r="E17" i="9"/>
  <c r="J16" i="9"/>
  <c r="I16" i="9"/>
  <c r="E16" i="9"/>
  <c r="J15" i="9"/>
  <c r="I15" i="9"/>
  <c r="E15" i="9"/>
  <c r="J14" i="9"/>
  <c r="I14" i="9"/>
  <c r="E14" i="9"/>
  <c r="J12" i="9"/>
  <c r="I12" i="9"/>
  <c r="E12" i="9"/>
  <c r="J11" i="9"/>
  <c r="I11" i="9"/>
  <c r="E11" i="9"/>
  <c r="J10" i="9"/>
  <c r="I10" i="9"/>
  <c r="E10" i="9"/>
  <c r="J9" i="9"/>
  <c r="I9" i="9"/>
  <c r="E9" i="9"/>
  <c r="J8" i="9"/>
  <c r="I8" i="9"/>
  <c r="E8" i="9"/>
  <c r="J7" i="9"/>
  <c r="I7" i="9"/>
  <c r="S50" i="5" s="1"/>
  <c r="AJ50" i="5" s="1"/>
  <c r="E7" i="9"/>
  <c r="J6" i="9"/>
  <c r="I6" i="9"/>
  <c r="E6" i="9"/>
  <c r="J5" i="9"/>
  <c r="I5" i="9"/>
  <c r="E5" i="9"/>
  <c r="J4" i="9"/>
  <c r="I4" i="9"/>
  <c r="E4" i="9"/>
  <c r="J3" i="9"/>
  <c r="I3" i="9"/>
  <c r="E3" i="9"/>
  <c r="U37" i="6"/>
  <c r="W37" i="6" s="1"/>
  <c r="J37" i="6"/>
  <c r="L37" i="6" s="1"/>
  <c r="U36" i="6"/>
  <c r="W36" i="6" s="1"/>
  <c r="J36" i="6"/>
  <c r="L36" i="6" s="1"/>
  <c r="U35" i="6"/>
  <c r="W35" i="6" s="1"/>
  <c r="J35" i="6"/>
  <c r="K35" i="6" s="1"/>
  <c r="U34" i="6"/>
  <c r="W34" i="6" s="1"/>
  <c r="J34" i="6"/>
  <c r="L34" i="6" s="1"/>
  <c r="Z34" i="6" s="1"/>
  <c r="W33" i="6"/>
  <c r="U33" i="6"/>
  <c r="V33" i="6" s="1"/>
  <c r="J33" i="6"/>
  <c r="L33" i="6" s="1"/>
  <c r="U32" i="6"/>
  <c r="W32" i="6" s="1"/>
  <c r="J32" i="6"/>
  <c r="L32" i="6" s="1"/>
  <c r="Z32" i="6" s="1"/>
  <c r="U31" i="6"/>
  <c r="W31" i="6" s="1"/>
  <c r="J31" i="6"/>
  <c r="L31" i="6" s="1"/>
  <c r="Z31" i="6" s="1"/>
  <c r="U30" i="6"/>
  <c r="W30" i="6" s="1"/>
  <c r="J30" i="6"/>
  <c r="L30" i="6" s="1"/>
  <c r="U29" i="6"/>
  <c r="W29" i="6" s="1"/>
  <c r="J29" i="6"/>
  <c r="K29" i="6" s="1"/>
  <c r="U28" i="6"/>
  <c r="W28" i="6" s="1"/>
  <c r="J28" i="6"/>
  <c r="K28" i="6" s="1"/>
  <c r="U27" i="6"/>
  <c r="W27" i="6" s="1"/>
  <c r="J27" i="6"/>
  <c r="L27" i="6" s="1"/>
  <c r="Z27" i="6" s="1"/>
  <c r="U26" i="6"/>
  <c r="V26" i="6" s="1"/>
  <c r="J26" i="6"/>
  <c r="L26" i="6" s="1"/>
  <c r="U25" i="6"/>
  <c r="W25" i="6" s="1"/>
  <c r="J25" i="6"/>
  <c r="L25" i="6" s="1"/>
  <c r="U24" i="6"/>
  <c r="W24" i="6" s="1"/>
  <c r="J24" i="6"/>
  <c r="K24" i="6" s="1"/>
  <c r="U23" i="6"/>
  <c r="W23" i="6" s="1"/>
  <c r="J23" i="6"/>
  <c r="K23" i="6" s="1"/>
  <c r="U22" i="6"/>
  <c r="W22" i="6" s="1"/>
  <c r="J22" i="6"/>
  <c r="L22" i="6" s="1"/>
  <c r="Z22" i="6" s="1"/>
  <c r="U21" i="6"/>
  <c r="W21" i="6" s="1"/>
  <c r="J21" i="6"/>
  <c r="L21" i="6" s="1"/>
  <c r="U20" i="6"/>
  <c r="W20" i="6" s="1"/>
  <c r="J20" i="6"/>
  <c r="L20" i="6" s="1"/>
  <c r="U19" i="6"/>
  <c r="W19" i="6" s="1"/>
  <c r="J19" i="6"/>
  <c r="L19" i="6" s="1"/>
  <c r="Z19" i="6" s="1"/>
  <c r="U18" i="6"/>
  <c r="J18" i="6"/>
  <c r="R17" i="6"/>
  <c r="O17" i="6"/>
  <c r="G17" i="6"/>
  <c r="D17" i="6"/>
  <c r="U16" i="6"/>
  <c r="W16" i="6" s="1"/>
  <c r="J16" i="6"/>
  <c r="K16" i="6" s="1"/>
  <c r="H9" i="6"/>
  <c r="Z15" i="6"/>
  <c r="I30" i="8"/>
  <c r="I29" i="8"/>
  <c r="I28" i="8"/>
  <c r="I27" i="8"/>
  <c r="I26" i="8"/>
  <c r="I25" i="8"/>
  <c r="I24" i="8"/>
  <c r="O23" i="8"/>
  <c r="I22" i="8"/>
  <c r="W29" i="7"/>
  <c r="X29" i="7" s="1"/>
  <c r="AA29" i="7"/>
  <c r="H29" i="7"/>
  <c r="I29" i="7" s="1"/>
  <c r="W28" i="7"/>
  <c r="X28" i="7" s="1"/>
  <c r="N28" i="7"/>
  <c r="AA28" i="7" s="1"/>
  <c r="H28" i="7"/>
  <c r="I28" i="7" s="1"/>
  <c r="W27" i="7"/>
  <c r="X27" i="7" s="1"/>
  <c r="N27" i="7"/>
  <c r="AA27" i="7" s="1"/>
  <c r="H27" i="7"/>
  <c r="I27" i="7" s="1"/>
  <c r="W26" i="7"/>
  <c r="X26" i="7" s="1"/>
  <c r="N26" i="7"/>
  <c r="AA26" i="7" s="1"/>
  <c r="H26" i="7"/>
  <c r="I26" i="7" s="1"/>
  <c r="W25" i="7"/>
  <c r="X25" i="7" s="1"/>
  <c r="N25" i="7"/>
  <c r="AA25" i="7" s="1"/>
  <c r="H25" i="7"/>
  <c r="I25" i="7" s="1"/>
  <c r="W24" i="7"/>
  <c r="X24" i="7" s="1"/>
  <c r="N24" i="7"/>
  <c r="AA24" i="7" s="1"/>
  <c r="H24" i="7"/>
  <c r="I24" i="7" s="1"/>
  <c r="W23" i="7"/>
  <c r="X23" i="7" s="1"/>
  <c r="N23" i="7"/>
  <c r="AA23" i="7" s="1"/>
  <c r="H23" i="7"/>
  <c r="I23" i="7" s="1"/>
  <c r="W22" i="7"/>
  <c r="X22" i="7" s="1"/>
  <c r="N22" i="7"/>
  <c r="AA22" i="7" s="1"/>
  <c r="H22" i="7"/>
  <c r="I22" i="7" s="1"/>
  <c r="W21" i="7"/>
  <c r="X21" i="7" s="1"/>
  <c r="AB21" i="7" s="1"/>
  <c r="N21" i="7"/>
  <c r="AA21" i="7" s="1"/>
  <c r="H21" i="7"/>
  <c r="I21" i="7" s="1"/>
  <c r="O21" i="7" s="1"/>
  <c r="W20" i="7"/>
  <c r="X20" i="7" s="1"/>
  <c r="AB20" i="7" s="1"/>
  <c r="AQ32" i="5"/>
  <c r="P32" i="5"/>
  <c r="AN32" i="5"/>
  <c r="AQ31" i="5"/>
  <c r="P31" i="5"/>
  <c r="AD31" i="5" s="1"/>
  <c r="AN31" i="5"/>
  <c r="AQ30" i="5"/>
  <c r="P30" i="5"/>
  <c r="R30" i="5" s="1"/>
  <c r="AN30" i="5"/>
  <c r="AQ29" i="5"/>
  <c r="P29" i="5"/>
  <c r="AD29" i="5" s="1"/>
  <c r="AN29" i="5"/>
  <c r="AQ28" i="5"/>
  <c r="P28" i="5"/>
  <c r="AN28" i="5"/>
  <c r="AQ27" i="5"/>
  <c r="P27" i="5"/>
  <c r="AD27" i="5" s="1"/>
  <c r="AN27" i="5"/>
  <c r="AQ26" i="5"/>
  <c r="P26" i="5"/>
  <c r="AD26" i="5" s="1"/>
  <c r="AN26" i="5"/>
  <c r="AQ25" i="5"/>
  <c r="AD25" i="5"/>
  <c r="AN25" i="5"/>
  <c r="AQ24" i="5"/>
  <c r="AD24" i="5"/>
  <c r="AN24" i="5"/>
  <c r="D22" i="5"/>
  <c r="R21" i="5"/>
  <c r="Y22" i="4"/>
  <c r="T520" i="2"/>
  <c r="V520" i="2" s="1"/>
  <c r="T518" i="2"/>
  <c r="T517" i="2"/>
  <c r="T504" i="2"/>
  <c r="T503" i="2"/>
  <c r="T500" i="2"/>
  <c r="T499" i="2"/>
  <c r="T493" i="2"/>
  <c r="T492" i="2"/>
  <c r="V492" i="2" s="1"/>
  <c r="T490" i="2"/>
  <c r="T475" i="2"/>
  <c r="T474" i="2"/>
  <c r="T473" i="2"/>
  <c r="V473" i="2" s="1"/>
  <c r="T471" i="2"/>
  <c r="T468" i="2"/>
  <c r="T467" i="2"/>
  <c r="V467" i="2" s="1"/>
  <c r="T460" i="2"/>
  <c r="T457" i="2"/>
  <c r="T456" i="2"/>
  <c r="T454" i="2"/>
  <c r="T452" i="2"/>
  <c r="T449" i="2"/>
  <c r="T448" i="2"/>
  <c r="V448" i="2" s="1"/>
  <c r="T447" i="2"/>
  <c r="T446" i="2"/>
  <c r="T443" i="2"/>
  <c r="T442" i="2"/>
  <c r="V442" i="2" s="1"/>
  <c r="T441" i="2"/>
  <c r="T439" i="2"/>
  <c r="T438" i="2"/>
  <c r="T436" i="2"/>
  <c r="V436" i="2" s="1"/>
  <c r="T433" i="2"/>
  <c r="V433" i="2" s="1"/>
  <c r="T432" i="2"/>
  <c r="T431" i="2"/>
  <c r="T428" i="2"/>
  <c r="T425" i="2"/>
  <c r="T424" i="2"/>
  <c r="T423" i="2"/>
  <c r="V423" i="2" s="1"/>
  <c r="T422" i="2"/>
  <c r="T421" i="2"/>
  <c r="T420" i="2"/>
  <c r="T419" i="2"/>
  <c r="T411" i="2"/>
  <c r="V411" i="2" s="1"/>
  <c r="T407" i="2"/>
  <c r="T405" i="2"/>
  <c r="V405" i="2" s="1"/>
  <c r="T403" i="2"/>
  <c r="T401" i="2"/>
  <c r="T399" i="2"/>
  <c r="T398" i="2"/>
  <c r="T397" i="2"/>
  <c r="T396" i="2"/>
  <c r="T394" i="2"/>
  <c r="T391" i="2"/>
  <c r="T390" i="2"/>
  <c r="T389" i="2"/>
  <c r="T388" i="2"/>
  <c r="T385" i="2"/>
  <c r="T379" i="2"/>
  <c r="T378" i="2"/>
  <c r="T375" i="2"/>
  <c r="T373" i="2"/>
  <c r="T370" i="2"/>
  <c r="T367" i="2"/>
  <c r="T366" i="2"/>
  <c r="T364" i="2"/>
  <c r="V364" i="2" s="1"/>
  <c r="T363" i="2"/>
  <c r="T362" i="2"/>
  <c r="V362" i="2" s="1"/>
  <c r="T361" i="2"/>
  <c r="T358" i="2"/>
  <c r="T357" i="2"/>
  <c r="T356" i="2"/>
  <c r="T354" i="2"/>
  <c r="T353" i="2"/>
  <c r="T350" i="2"/>
  <c r="T347" i="2"/>
  <c r="T345" i="2"/>
  <c r="T344" i="2"/>
  <c r="T342" i="2"/>
  <c r="T341" i="2"/>
  <c r="T339" i="2"/>
  <c r="T338" i="2"/>
  <c r="T333" i="2"/>
  <c r="T331" i="2"/>
  <c r="T330" i="2"/>
  <c r="V330" i="2" s="1"/>
  <c r="T329" i="2"/>
  <c r="T328" i="2"/>
  <c r="T326" i="2"/>
  <c r="T325" i="2"/>
  <c r="T322" i="2"/>
  <c r="T320" i="2"/>
  <c r="T319" i="2"/>
  <c r="T311" i="2"/>
  <c r="T310" i="2"/>
  <c r="T306" i="2"/>
  <c r="T303" i="2"/>
  <c r="T302" i="2"/>
  <c r="T301" i="2"/>
  <c r="T298" i="2"/>
  <c r="T291" i="2"/>
  <c r="T289" i="2"/>
  <c r="T286" i="2"/>
  <c r="T285" i="2"/>
  <c r="T283" i="2"/>
  <c r="T282" i="2"/>
  <c r="T280" i="2"/>
  <c r="T276" i="2"/>
  <c r="T274" i="2"/>
  <c r="T272" i="2"/>
  <c r="T271" i="2"/>
  <c r="V271" i="2" s="1"/>
  <c r="T269" i="2"/>
  <c r="T267" i="2"/>
  <c r="T266" i="2"/>
  <c r="T263" i="2"/>
  <c r="T260" i="2"/>
  <c r="T258" i="2"/>
  <c r="T257" i="2"/>
  <c r="T252" i="2"/>
  <c r="T251" i="2"/>
  <c r="T248" i="2"/>
  <c r="T247" i="2"/>
  <c r="T244" i="2"/>
  <c r="T243" i="2"/>
  <c r="T236" i="2"/>
  <c r="V236" i="2" s="1"/>
  <c r="T235" i="2"/>
  <c r="T234" i="2"/>
  <c r="V234" i="2" s="1"/>
  <c r="T233" i="2"/>
  <c r="T232" i="2"/>
  <c r="T230" i="2"/>
  <c r="T227" i="2"/>
  <c r="V227" i="2" s="1"/>
  <c r="T226" i="2"/>
  <c r="V226" i="2" s="1"/>
  <c r="T225" i="2"/>
  <c r="T222" i="2"/>
  <c r="T219" i="2"/>
  <c r="T216" i="2"/>
  <c r="T215" i="2"/>
  <c r="T214" i="2"/>
  <c r="T213" i="2"/>
  <c r="T212" i="2"/>
  <c r="T210" i="2"/>
  <c r="T208" i="2"/>
  <c r="V208" i="2" s="1"/>
  <c r="T200" i="2"/>
  <c r="T197" i="2"/>
  <c r="T194" i="2"/>
  <c r="T192" i="2"/>
  <c r="T191" i="2"/>
  <c r="T190" i="2"/>
  <c r="T188" i="2"/>
  <c r="T187" i="2"/>
  <c r="T182" i="2"/>
  <c r="T179" i="2"/>
  <c r="V179" i="2" s="1"/>
  <c r="T176" i="2"/>
  <c r="T169" i="2"/>
  <c r="T168" i="2"/>
  <c r="T166" i="2"/>
  <c r="T165" i="2"/>
  <c r="T164" i="2"/>
  <c r="V164" i="2" s="1"/>
  <c r="T162" i="2"/>
  <c r="T160" i="2"/>
  <c r="T159" i="2"/>
  <c r="T157" i="2"/>
  <c r="V157" i="2" s="1"/>
  <c r="T156" i="2"/>
  <c r="T153" i="2"/>
  <c r="T151" i="2"/>
  <c r="T150" i="2"/>
  <c r="T147" i="2"/>
  <c r="T145" i="2"/>
  <c r="T142" i="2"/>
  <c r="T141" i="2"/>
  <c r="T138" i="2"/>
  <c r="T134" i="2"/>
  <c r="T132" i="2"/>
  <c r="T131" i="2"/>
  <c r="T130" i="2"/>
  <c r="V130" i="2" s="1"/>
  <c r="T129" i="2"/>
  <c r="T125" i="2"/>
  <c r="T122" i="2"/>
  <c r="T120" i="2"/>
  <c r="T119" i="2"/>
  <c r="T118" i="2"/>
  <c r="V118" i="2" s="1"/>
  <c r="T117" i="2"/>
  <c r="T116" i="2"/>
  <c r="T114" i="2"/>
  <c r="T113" i="2"/>
  <c r="T112" i="2"/>
  <c r="T106" i="2"/>
  <c r="T103" i="2"/>
  <c r="T102" i="2"/>
  <c r="T95" i="2"/>
  <c r="T94" i="2"/>
  <c r="T92" i="2"/>
  <c r="T91" i="2"/>
  <c r="T89" i="2"/>
  <c r="T88" i="2"/>
  <c r="T86" i="2"/>
  <c r="T85" i="2"/>
  <c r="T82" i="2"/>
  <c r="T79" i="2"/>
  <c r="T77" i="2"/>
  <c r="T76" i="2"/>
  <c r="T73" i="2"/>
  <c r="T71" i="2"/>
  <c r="V71" i="2" s="1"/>
  <c r="T66" i="2"/>
  <c r="T64" i="2"/>
  <c r="T61" i="2"/>
  <c r="T58" i="2"/>
  <c r="T55" i="2"/>
  <c r="T53" i="2"/>
  <c r="T46" i="2"/>
  <c r="T44" i="2"/>
  <c r="T39" i="2"/>
  <c r="T37" i="2"/>
  <c r="V37" i="2" s="1"/>
  <c r="T36" i="2"/>
  <c r="T33" i="2"/>
  <c r="T31" i="2"/>
  <c r="T30" i="2"/>
  <c r="T28" i="2"/>
  <c r="V28" i="2" s="1"/>
  <c r="T27" i="2"/>
  <c r="T26" i="2"/>
  <c r="K36" i="6" l="1"/>
  <c r="W26" i="6"/>
  <c r="Z26" i="6" s="1"/>
  <c r="L23" i="6"/>
  <c r="Z23" i="6" s="1"/>
  <c r="L29" i="6"/>
  <c r="Z29" i="6" s="1"/>
  <c r="Z20" i="6"/>
  <c r="Z30" i="6"/>
  <c r="V21" i="6"/>
  <c r="Z36" i="6"/>
  <c r="Z37" i="6"/>
  <c r="J17" i="6"/>
  <c r="K22" i="6"/>
  <c r="M22" i="6" s="1"/>
  <c r="AA22" i="6" s="1"/>
  <c r="L24" i="6"/>
  <c r="M24" i="6" s="1"/>
  <c r="V37" i="6"/>
  <c r="U17" i="6"/>
  <c r="V27" i="6"/>
  <c r="V31" i="6"/>
  <c r="V34" i="6"/>
  <c r="Z21" i="6"/>
  <c r="V23" i="6"/>
  <c r="Y23" i="6" s="1"/>
  <c r="K27" i="6"/>
  <c r="M27" i="6" s="1"/>
  <c r="K34" i="6"/>
  <c r="Y34" i="6" s="1"/>
  <c r="V22" i="6"/>
  <c r="K25" i="6"/>
  <c r="M25" i="6" s="1"/>
  <c r="K32" i="6"/>
  <c r="M32" i="6" s="1"/>
  <c r="L28" i="6"/>
  <c r="Z28" i="6" s="1"/>
  <c r="L35" i="6"/>
  <c r="Z35" i="6" s="1"/>
  <c r="K20" i="6"/>
  <c r="Z33" i="6"/>
  <c r="L16" i="6"/>
  <c r="Z16" i="6" s="1"/>
  <c r="AD32" i="5"/>
  <c r="R32" i="5"/>
  <c r="Z25" i="6"/>
  <c r="M16" i="6"/>
  <c r="Y35" i="6"/>
  <c r="M37" i="6"/>
  <c r="K18" i="6"/>
  <c r="K30" i="6"/>
  <c r="M30" i="6" s="1"/>
  <c r="L18" i="6"/>
  <c r="V28" i="6"/>
  <c r="V35" i="6"/>
  <c r="K37" i="6"/>
  <c r="V18" i="6"/>
  <c r="V30" i="6"/>
  <c r="W18" i="6"/>
  <c r="V20" i="6"/>
  <c r="V25" i="6"/>
  <c r="V32" i="6"/>
  <c r="K19" i="6"/>
  <c r="Y19" i="6" s="1"/>
  <c r="K31" i="6"/>
  <c r="Y31" i="6" s="1"/>
  <c r="V29" i="6"/>
  <c r="Y29" i="6" s="1"/>
  <c r="V16" i="6"/>
  <c r="X16" i="6" s="1"/>
  <c r="K21" i="6"/>
  <c r="V24" i="6"/>
  <c r="K26" i="6"/>
  <c r="Y26" i="6" s="1"/>
  <c r="K33" i="6"/>
  <c r="Y33" i="6" s="1"/>
  <c r="V36" i="6"/>
  <c r="Y36" i="6" s="1"/>
  <c r="V19" i="6"/>
  <c r="R28" i="5"/>
  <c r="AF25" i="5"/>
  <c r="AH25" i="5" s="1"/>
  <c r="AF29" i="5"/>
  <c r="AF27" i="5"/>
  <c r="AF26" i="5"/>
  <c r="AG26" i="5" s="1"/>
  <c r="AF32" i="5"/>
  <c r="AF31" i="5"/>
  <c r="AH31" i="5" s="1"/>
  <c r="AF24" i="5"/>
  <c r="S48" i="5"/>
  <c r="AJ48" i="5" s="1"/>
  <c r="S47" i="5"/>
  <c r="AJ47" i="5" s="1"/>
  <c r="S49" i="5"/>
  <c r="AJ49" i="5" s="1"/>
  <c r="N41" i="8"/>
  <c r="N42" i="8"/>
  <c r="Y42" i="8"/>
  <c r="Y41" i="8"/>
  <c r="P41" i="7"/>
  <c r="P42" i="7"/>
  <c r="AC42" i="7"/>
  <c r="AC41" i="7"/>
  <c r="P40" i="7"/>
  <c r="AC40" i="7"/>
  <c r="U21" i="2"/>
  <c r="L534" i="2"/>
  <c r="U536" i="2"/>
  <c r="U535" i="2"/>
  <c r="L537" i="2"/>
  <c r="U534" i="2"/>
  <c r="L533" i="2"/>
  <c r="L535" i="2"/>
  <c r="L536" i="2"/>
  <c r="U533" i="2"/>
  <c r="U537" i="2"/>
  <c r="AA20" i="7"/>
  <c r="O25" i="8"/>
  <c r="O29" i="8"/>
  <c r="N22" i="8"/>
  <c r="N24" i="8"/>
  <c r="N28" i="8"/>
  <c r="O30" i="8"/>
  <c r="O27" i="8"/>
  <c r="M36" i="6"/>
  <c r="M23" i="6"/>
  <c r="N26" i="8"/>
  <c r="O26" i="8"/>
  <c r="M29" i="6"/>
  <c r="M21" i="6"/>
  <c r="M26" i="6"/>
  <c r="Q22" i="7"/>
  <c r="AD30" i="5"/>
  <c r="R29" i="5"/>
  <c r="AD28" i="5"/>
  <c r="T30" i="5"/>
  <c r="R26" i="5"/>
  <c r="U397" i="2"/>
  <c r="V397" i="2"/>
  <c r="U122" i="2"/>
  <c r="V122" i="2"/>
  <c r="U182" i="2"/>
  <c r="V182" i="2"/>
  <c r="U326" i="2"/>
  <c r="V326" i="2"/>
  <c r="U398" i="2"/>
  <c r="V398" i="2"/>
  <c r="U446" i="2"/>
  <c r="V446" i="2"/>
  <c r="U399" i="2"/>
  <c r="V399" i="2"/>
  <c r="U447" i="2"/>
  <c r="V447" i="2"/>
  <c r="U64" i="2"/>
  <c r="V64" i="2"/>
  <c r="U76" i="2"/>
  <c r="V76" i="2"/>
  <c r="U88" i="2"/>
  <c r="V88" i="2"/>
  <c r="U112" i="2"/>
  <c r="V112" i="2"/>
  <c r="U160" i="2"/>
  <c r="V160" i="2"/>
  <c r="U232" i="2"/>
  <c r="V232" i="2"/>
  <c r="U244" i="2"/>
  <c r="V244" i="2"/>
  <c r="U280" i="2"/>
  <c r="V280" i="2"/>
  <c r="U328" i="2"/>
  <c r="V328" i="2"/>
  <c r="U388" i="2"/>
  <c r="V388" i="2"/>
  <c r="U424" i="2"/>
  <c r="V424" i="2"/>
  <c r="U460" i="2"/>
  <c r="V460" i="2"/>
  <c r="U361" i="2"/>
  <c r="V361" i="2"/>
  <c r="U493" i="2"/>
  <c r="V493" i="2"/>
  <c r="U266" i="2"/>
  <c r="V266" i="2"/>
  <c r="U350" i="2"/>
  <c r="V350" i="2"/>
  <c r="U267" i="2"/>
  <c r="V267" i="2"/>
  <c r="U339" i="2"/>
  <c r="V339" i="2"/>
  <c r="U471" i="2"/>
  <c r="V471" i="2"/>
  <c r="U77" i="2"/>
  <c r="V77" i="2"/>
  <c r="U125" i="2"/>
  <c r="V125" i="2"/>
  <c r="U197" i="2"/>
  <c r="V197" i="2"/>
  <c r="U257" i="2"/>
  <c r="V257" i="2"/>
  <c r="U341" i="2"/>
  <c r="V341" i="2"/>
  <c r="U401" i="2"/>
  <c r="V401" i="2"/>
  <c r="U425" i="2"/>
  <c r="V425" i="2"/>
  <c r="U449" i="2"/>
  <c r="V449" i="2"/>
  <c r="U230" i="2"/>
  <c r="V230" i="2"/>
  <c r="U338" i="2"/>
  <c r="V338" i="2"/>
  <c r="U39" i="2"/>
  <c r="V39" i="2"/>
  <c r="U53" i="2"/>
  <c r="V53" i="2"/>
  <c r="U89" i="2"/>
  <c r="V89" i="2"/>
  <c r="U113" i="2"/>
  <c r="V113" i="2"/>
  <c r="U233" i="2"/>
  <c r="V233" i="2"/>
  <c r="U269" i="2"/>
  <c r="V269" i="2"/>
  <c r="U329" i="2"/>
  <c r="V329" i="2"/>
  <c r="U353" i="2"/>
  <c r="V353" i="2"/>
  <c r="U389" i="2"/>
  <c r="V389" i="2"/>
  <c r="U30" i="2"/>
  <c r="U66" i="2"/>
  <c r="V66" i="2"/>
  <c r="U102" i="2"/>
  <c r="V102" i="2"/>
  <c r="U114" i="2"/>
  <c r="V114" i="2"/>
  <c r="U138" i="2"/>
  <c r="V138" i="2"/>
  <c r="U150" i="2"/>
  <c r="V150" i="2"/>
  <c r="U162" i="2"/>
  <c r="V162" i="2"/>
  <c r="U210" i="2"/>
  <c r="V210" i="2"/>
  <c r="U222" i="2"/>
  <c r="V222" i="2"/>
  <c r="U258" i="2"/>
  <c r="V258" i="2"/>
  <c r="U282" i="2"/>
  <c r="V282" i="2"/>
  <c r="U306" i="2"/>
  <c r="V306" i="2"/>
  <c r="U342" i="2"/>
  <c r="V342" i="2"/>
  <c r="U354" i="2"/>
  <c r="V354" i="2"/>
  <c r="U366" i="2"/>
  <c r="V366" i="2"/>
  <c r="U378" i="2"/>
  <c r="V378" i="2"/>
  <c r="U390" i="2"/>
  <c r="V390" i="2"/>
  <c r="U438" i="2"/>
  <c r="V438" i="2"/>
  <c r="U474" i="2"/>
  <c r="V474" i="2"/>
  <c r="U85" i="2"/>
  <c r="V85" i="2"/>
  <c r="U169" i="2"/>
  <c r="V169" i="2"/>
  <c r="U289" i="2"/>
  <c r="V289" i="2"/>
  <c r="U373" i="2"/>
  <c r="V373" i="2"/>
  <c r="U421" i="2"/>
  <c r="V421" i="2"/>
  <c r="U457" i="2"/>
  <c r="V457" i="2"/>
  <c r="U26" i="2"/>
  <c r="V26" i="2"/>
  <c r="U27" i="2"/>
  <c r="V27" i="2"/>
  <c r="U159" i="2"/>
  <c r="V159" i="2"/>
  <c r="U291" i="2"/>
  <c r="V291" i="2"/>
  <c r="U103" i="2"/>
  <c r="V103" i="2"/>
  <c r="U187" i="2"/>
  <c r="V187" i="2"/>
  <c r="U235" i="2"/>
  <c r="V235" i="2"/>
  <c r="U283" i="2"/>
  <c r="V283" i="2"/>
  <c r="U319" i="2"/>
  <c r="V319" i="2"/>
  <c r="U391" i="2"/>
  <c r="V391" i="2"/>
  <c r="U439" i="2"/>
  <c r="V439" i="2"/>
  <c r="U475" i="2"/>
  <c r="V475" i="2"/>
  <c r="U116" i="2"/>
  <c r="V116" i="2"/>
  <c r="U176" i="2"/>
  <c r="V176" i="2"/>
  <c r="U212" i="2"/>
  <c r="V212" i="2"/>
  <c r="U248" i="2"/>
  <c r="V248" i="2"/>
  <c r="U320" i="2"/>
  <c r="V320" i="2"/>
  <c r="U356" i="2"/>
  <c r="V356" i="2"/>
  <c r="U428" i="2"/>
  <c r="V428" i="2"/>
  <c r="U452" i="2"/>
  <c r="V452" i="2"/>
  <c r="U33" i="2"/>
  <c r="V33" i="2"/>
  <c r="U117" i="2"/>
  <c r="V117" i="2"/>
  <c r="U129" i="2"/>
  <c r="V129" i="2"/>
  <c r="U141" i="2"/>
  <c r="V141" i="2"/>
  <c r="U153" i="2"/>
  <c r="V153" i="2"/>
  <c r="U165" i="2"/>
  <c r="V165" i="2"/>
  <c r="U213" i="2"/>
  <c r="V213" i="2"/>
  <c r="U225" i="2"/>
  <c r="V225" i="2"/>
  <c r="U285" i="2"/>
  <c r="V285" i="2"/>
  <c r="U333" i="2"/>
  <c r="V333" i="2"/>
  <c r="U345" i="2"/>
  <c r="V345" i="2"/>
  <c r="U357" i="2"/>
  <c r="V357" i="2"/>
  <c r="U441" i="2"/>
  <c r="V441" i="2"/>
  <c r="U145" i="2"/>
  <c r="V145" i="2"/>
  <c r="U385" i="2"/>
  <c r="V385" i="2"/>
  <c r="U86" i="2"/>
  <c r="V86" i="2"/>
  <c r="U194" i="2"/>
  <c r="V194" i="2"/>
  <c r="U422" i="2"/>
  <c r="V422" i="2"/>
  <c r="U243" i="2"/>
  <c r="V243" i="2"/>
  <c r="U363" i="2"/>
  <c r="V363" i="2"/>
  <c r="U31" i="2"/>
  <c r="V31" i="2"/>
  <c r="U79" i="2"/>
  <c r="V79" i="2"/>
  <c r="U151" i="2"/>
  <c r="V151" i="2"/>
  <c r="U367" i="2"/>
  <c r="V367" i="2"/>
  <c r="U200" i="2"/>
  <c r="V200" i="2"/>
  <c r="U260" i="2"/>
  <c r="V260" i="2"/>
  <c r="U46" i="2"/>
  <c r="V46" i="2"/>
  <c r="U58" i="2"/>
  <c r="V58" i="2"/>
  <c r="U82" i="2"/>
  <c r="V82" i="2"/>
  <c r="U94" i="2"/>
  <c r="V94" i="2"/>
  <c r="U106" i="2"/>
  <c r="V106" i="2"/>
  <c r="U142" i="2"/>
  <c r="V142" i="2"/>
  <c r="U166" i="2"/>
  <c r="V166" i="2"/>
  <c r="U190" i="2"/>
  <c r="V190" i="2"/>
  <c r="U214" i="2"/>
  <c r="V214" i="2"/>
  <c r="U274" i="2"/>
  <c r="V274" i="2"/>
  <c r="U286" i="2"/>
  <c r="V286" i="2"/>
  <c r="U298" i="2"/>
  <c r="V298" i="2"/>
  <c r="U310" i="2"/>
  <c r="V310" i="2"/>
  <c r="U322" i="2"/>
  <c r="V322" i="2"/>
  <c r="U358" i="2"/>
  <c r="V358" i="2"/>
  <c r="U370" i="2"/>
  <c r="V370" i="2"/>
  <c r="U394" i="2"/>
  <c r="V394" i="2"/>
  <c r="U454" i="2"/>
  <c r="V454" i="2"/>
  <c r="U490" i="2"/>
  <c r="V490" i="2"/>
  <c r="U73" i="2"/>
  <c r="V73" i="2"/>
  <c r="U325" i="2"/>
  <c r="V325" i="2"/>
  <c r="U302" i="2"/>
  <c r="V302" i="2"/>
  <c r="U219" i="2"/>
  <c r="V219" i="2"/>
  <c r="U375" i="2"/>
  <c r="V375" i="2"/>
  <c r="U91" i="2"/>
  <c r="V91" i="2"/>
  <c r="U247" i="2"/>
  <c r="V247" i="2"/>
  <c r="U331" i="2"/>
  <c r="V331" i="2"/>
  <c r="U403" i="2"/>
  <c r="V403" i="2"/>
  <c r="U92" i="2"/>
  <c r="V92" i="2"/>
  <c r="U188" i="2"/>
  <c r="V188" i="2"/>
  <c r="U272" i="2"/>
  <c r="V272" i="2"/>
  <c r="U500" i="2"/>
  <c r="V500" i="2"/>
  <c r="U95" i="2"/>
  <c r="V95" i="2"/>
  <c r="U119" i="2"/>
  <c r="V119" i="2"/>
  <c r="U131" i="2"/>
  <c r="V131" i="2"/>
  <c r="U191" i="2"/>
  <c r="V191" i="2"/>
  <c r="U215" i="2"/>
  <c r="V215" i="2"/>
  <c r="U251" i="2"/>
  <c r="V251" i="2"/>
  <c r="U263" i="2"/>
  <c r="V263" i="2"/>
  <c r="U311" i="2"/>
  <c r="V311" i="2"/>
  <c r="U347" i="2"/>
  <c r="V347" i="2"/>
  <c r="U407" i="2"/>
  <c r="V407" i="2"/>
  <c r="U419" i="2"/>
  <c r="V419" i="2"/>
  <c r="U431" i="2"/>
  <c r="V431" i="2"/>
  <c r="U443" i="2"/>
  <c r="V443" i="2"/>
  <c r="U503" i="2"/>
  <c r="V503" i="2"/>
  <c r="U61" i="2"/>
  <c r="V61" i="2"/>
  <c r="U301" i="2"/>
  <c r="V301" i="2"/>
  <c r="U134" i="2"/>
  <c r="V134" i="2"/>
  <c r="U518" i="2"/>
  <c r="V518" i="2"/>
  <c r="U147" i="2"/>
  <c r="V147" i="2"/>
  <c r="U303" i="2"/>
  <c r="V303" i="2"/>
  <c r="U55" i="2"/>
  <c r="V55" i="2"/>
  <c r="U379" i="2"/>
  <c r="V379" i="2"/>
  <c r="U499" i="2"/>
  <c r="V499" i="2"/>
  <c r="U44" i="2"/>
  <c r="V44" i="2"/>
  <c r="U344" i="2"/>
  <c r="V344" i="2"/>
  <c r="U36" i="2"/>
  <c r="V36" i="2"/>
  <c r="U120" i="2"/>
  <c r="V120" i="2"/>
  <c r="U132" i="2"/>
  <c r="V132" i="2"/>
  <c r="U156" i="2"/>
  <c r="V156" i="2"/>
  <c r="U168" i="2"/>
  <c r="V168" i="2"/>
  <c r="U192" i="2"/>
  <c r="V192" i="2"/>
  <c r="U216" i="2"/>
  <c r="V216" i="2"/>
  <c r="U252" i="2"/>
  <c r="V252" i="2"/>
  <c r="U276" i="2"/>
  <c r="V276" i="2"/>
  <c r="U396" i="2"/>
  <c r="V396" i="2"/>
  <c r="U420" i="2"/>
  <c r="V420" i="2"/>
  <c r="U432" i="2"/>
  <c r="V432" i="2"/>
  <c r="U456" i="2"/>
  <c r="V456" i="2"/>
  <c r="U468" i="2"/>
  <c r="V468" i="2"/>
  <c r="U504" i="2"/>
  <c r="V504" i="2"/>
  <c r="T23" i="2"/>
  <c r="T24" i="2"/>
  <c r="T62" i="2"/>
  <c r="W420" i="2"/>
  <c r="T413" i="2"/>
  <c r="T343" i="2"/>
  <c r="T105" i="2"/>
  <c r="T497" i="2"/>
  <c r="T369" i="2"/>
  <c r="T380" i="2"/>
  <c r="T75" i="2"/>
  <c r="T34" i="2"/>
  <c r="T56" i="2"/>
  <c r="T472" i="2"/>
  <c r="T501" i="2"/>
  <c r="T277" i="2"/>
  <c r="T365" i="2"/>
  <c r="T508" i="2"/>
  <c r="T152" i="2"/>
  <c r="T327" i="2"/>
  <c r="T136" i="2"/>
  <c r="T295" i="2"/>
  <c r="T505" i="2"/>
  <c r="T515" i="2"/>
  <c r="T40" i="2"/>
  <c r="T239" i="2"/>
  <c r="T148" i="2"/>
  <c r="T495" i="2"/>
  <c r="T470" i="2"/>
  <c r="T368" i="2"/>
  <c r="T417" i="2"/>
  <c r="T455" i="2"/>
  <c r="T25" i="2"/>
  <c r="T100" i="2"/>
  <c r="T108" i="2"/>
  <c r="T115" i="2"/>
  <c r="T133" i="2"/>
  <c r="T204" i="2"/>
  <c r="T229" i="2"/>
  <c r="T316" i="2"/>
  <c r="T323" i="2"/>
  <c r="T346" i="2"/>
  <c r="T478" i="2"/>
  <c r="T245" i="2"/>
  <c r="T395" i="2"/>
  <c r="T486" i="2"/>
  <c r="T519" i="2"/>
  <c r="T273" i="2"/>
  <c r="T337" i="2"/>
  <c r="T42" i="2"/>
  <c r="T246" i="2"/>
  <c r="T299" i="2"/>
  <c r="T93" i="2"/>
  <c r="T161" i="2"/>
  <c r="T240" i="2"/>
  <c r="T294" i="2"/>
  <c r="T348" i="2"/>
  <c r="T406" i="2"/>
  <c r="T435" i="2"/>
  <c r="T466" i="2"/>
  <c r="T265" i="2"/>
  <c r="T332" i="2"/>
  <c r="T127" i="2"/>
  <c r="T206" i="2"/>
  <c r="T255" i="2"/>
  <c r="T458" i="2"/>
  <c r="T59" i="2"/>
  <c r="W59" i="2" s="1"/>
  <c r="T202" i="2"/>
  <c r="T314" i="2"/>
  <c r="T352" i="2"/>
  <c r="T461" i="2"/>
  <c r="T139" i="2"/>
  <c r="T186" i="2"/>
  <c r="T109" i="2"/>
  <c r="T317" i="2"/>
  <c r="T146" i="2"/>
  <c r="T49" i="2"/>
  <c r="T87" i="2"/>
  <c r="T279" i="2"/>
  <c r="T287" i="2"/>
  <c r="T304" i="2"/>
  <c r="T313" i="2"/>
  <c r="T336" i="2"/>
  <c r="T360" i="2"/>
  <c r="T400" i="2"/>
  <c r="T408" i="2"/>
  <c r="T445" i="2"/>
  <c r="V445" i="2" s="1"/>
  <c r="R25" i="5"/>
  <c r="R27" i="5"/>
  <c r="R31" i="5"/>
  <c r="Q23" i="7"/>
  <c r="Q25" i="7"/>
  <c r="N23" i="8"/>
  <c r="T514" i="2"/>
  <c r="T203" i="2"/>
  <c r="T382" i="2"/>
  <c r="T74" i="2"/>
  <c r="T376" i="2"/>
  <c r="T453" i="2"/>
  <c r="T65" i="2"/>
  <c r="V65" i="2" s="1"/>
  <c r="T377" i="2"/>
  <c r="T50" i="2"/>
  <c r="T140" i="2"/>
  <c r="T149" i="2"/>
  <c r="T237" i="2"/>
  <c r="T414" i="2"/>
  <c r="T81" i="2"/>
  <c r="T121" i="2"/>
  <c r="T268" i="2"/>
  <c r="T307" i="2"/>
  <c r="T418" i="2"/>
  <c r="T392" i="2"/>
  <c r="T324" i="2"/>
  <c r="T52" i="2"/>
  <c r="T96" i="2"/>
  <c r="T288" i="2"/>
  <c r="T429" i="2"/>
  <c r="T502" i="2"/>
  <c r="T111" i="2"/>
  <c r="T479" i="2"/>
  <c r="T80" i="2"/>
  <c r="T158" i="2"/>
  <c r="T183" i="2"/>
  <c r="T290" i="2"/>
  <c r="V290" i="2" s="1"/>
  <c r="T383" i="2"/>
  <c r="V383" i="2" s="1"/>
  <c r="T135" i="2"/>
  <c r="T262" i="2"/>
  <c r="T315" i="2"/>
  <c r="T69" i="2"/>
  <c r="T97" i="2"/>
  <c r="T189" i="2"/>
  <c r="T249" i="2"/>
  <c r="T284" i="2"/>
  <c r="T144" i="2"/>
  <c r="T155" i="2"/>
  <c r="T297" i="2"/>
  <c r="T308" i="2"/>
  <c r="T371" i="2"/>
  <c r="T185" i="2"/>
  <c r="T211" i="2"/>
  <c r="T90" i="2"/>
  <c r="T137" i="2"/>
  <c r="T167" i="2"/>
  <c r="T180" i="2"/>
  <c r="T292" i="2"/>
  <c r="T340" i="2"/>
  <c r="T426" i="2"/>
  <c r="T351" i="2"/>
  <c r="T516" i="2"/>
  <c r="T296" i="2"/>
  <c r="T469" i="2"/>
  <c r="T480" i="2"/>
  <c r="T496" i="2"/>
  <c r="T209" i="2"/>
  <c r="U448" i="2"/>
  <c r="T124" i="2"/>
  <c r="V124" i="2" s="1"/>
  <c r="T172" i="2"/>
  <c r="T238" i="2"/>
  <c r="T205" i="2"/>
  <c r="T228" i="2"/>
  <c r="T335" i="2"/>
  <c r="T416" i="2"/>
  <c r="T491" i="2"/>
  <c r="T201" i="2"/>
  <c r="T293" i="2"/>
  <c r="V293" i="2" s="1"/>
  <c r="T386" i="2"/>
  <c r="T72" i="2"/>
  <c r="T99" i="2"/>
  <c r="T305" i="2"/>
  <c r="T349" i="2"/>
  <c r="V349" i="2" s="1"/>
  <c r="U157" i="2"/>
  <c r="T163" i="2"/>
  <c r="T207" i="2"/>
  <c r="T254" i="2"/>
  <c r="T318" i="2"/>
  <c r="T355" i="2"/>
  <c r="T464" i="2"/>
  <c r="T511" i="2"/>
  <c r="T451" i="2"/>
  <c r="T477" i="2"/>
  <c r="T489" i="2"/>
  <c r="T494" i="2"/>
  <c r="T47" i="2"/>
  <c r="T78" i="2"/>
  <c r="T126" i="2"/>
  <c r="T22" i="2"/>
  <c r="T84" i="2"/>
  <c r="V84" i="2" s="1"/>
  <c r="T170" i="2"/>
  <c r="T198" i="2"/>
  <c r="T259" i="2"/>
  <c r="T321" i="2"/>
  <c r="V321" i="2" s="1"/>
  <c r="T374" i="2"/>
  <c r="T430" i="2"/>
  <c r="V430" i="2" s="1"/>
  <c r="T483" i="2"/>
  <c r="S30" i="5"/>
  <c r="U28" i="2"/>
  <c r="U37" i="2"/>
  <c r="U71" i="2"/>
  <c r="U118" i="2"/>
  <c r="T196" i="2"/>
  <c r="U234" i="2"/>
  <c r="T154" i="2"/>
  <c r="T181" i="2"/>
  <c r="T107" i="2"/>
  <c r="U130" i="2"/>
  <c r="T38" i="2"/>
  <c r="T83" i="2"/>
  <c r="U236" i="2"/>
  <c r="T98" i="2"/>
  <c r="T45" i="2"/>
  <c r="T101" i="2"/>
  <c r="T29" i="2"/>
  <c r="T43" i="2"/>
  <c r="T70" i="2"/>
  <c r="T32" i="2"/>
  <c r="T54" i="2"/>
  <c r="T110" i="2"/>
  <c r="T41" i="2"/>
  <c r="T51" i="2"/>
  <c r="T67" i="2"/>
  <c r="T57" i="2"/>
  <c r="U164" i="2"/>
  <c r="T173" i="2"/>
  <c r="U179" i="2"/>
  <c r="T104" i="2"/>
  <c r="T48" i="2"/>
  <c r="T60" i="2"/>
  <c r="T68" i="2"/>
  <c r="T123" i="2"/>
  <c r="T35" i="2"/>
  <c r="T63" i="2"/>
  <c r="T175" i="2"/>
  <c r="T128" i="2"/>
  <c r="U226" i="2"/>
  <c r="T224" i="2"/>
  <c r="T242" i="2"/>
  <c r="T143" i="2"/>
  <c r="T199" i="2"/>
  <c r="T270" i="2"/>
  <c r="T171" i="2"/>
  <c r="T231" i="2"/>
  <c r="T253" i="2"/>
  <c r="T275" i="2"/>
  <c r="U364" i="2"/>
  <c r="T217" i="2"/>
  <c r="U208" i="2"/>
  <c r="T264" i="2"/>
  <c r="T174" i="2"/>
  <c r="T178" i="2"/>
  <c r="T220" i="2"/>
  <c r="U271" i="2"/>
  <c r="T281" i="2"/>
  <c r="T184" i="2"/>
  <c r="T195" i="2"/>
  <c r="U227" i="2"/>
  <c r="T218" i="2"/>
  <c r="T223" i="2"/>
  <c r="T241" i="2"/>
  <c r="T261" i="2"/>
  <c r="T193" i="2"/>
  <c r="T372" i="2"/>
  <c r="T177" i="2"/>
  <c r="T221" i="2"/>
  <c r="U433" i="2"/>
  <c r="T312" i="2"/>
  <c r="T359" i="2"/>
  <c r="U362" i="2"/>
  <c r="T278" i="2"/>
  <c r="T300" i="2"/>
  <c r="U330" i="2"/>
  <c r="T250" i="2"/>
  <c r="T256" i="2"/>
  <c r="T387" i="2"/>
  <c r="U423" i="2"/>
  <c r="U411" i="2"/>
  <c r="T381" i="2"/>
  <c r="U405" i="2"/>
  <c r="T309" i="2"/>
  <c r="T409" i="2"/>
  <c r="U442" i="2"/>
  <c r="T334" i="2"/>
  <c r="T384" i="2"/>
  <c r="T410" i="2"/>
  <c r="T444" i="2"/>
  <c r="T459" i="2"/>
  <c r="T506" i="2"/>
  <c r="T512" i="2"/>
  <c r="T427" i="2"/>
  <c r="T465" i="2"/>
  <c r="U473" i="2"/>
  <c r="T481" i="2"/>
  <c r="T487" i="2"/>
  <c r="T507" i="2"/>
  <c r="T513" i="2"/>
  <c r="U520" i="2"/>
  <c r="T482" i="2"/>
  <c r="T488" i="2"/>
  <c r="T412" i="2"/>
  <c r="T434" i="2"/>
  <c r="T450" i="2"/>
  <c r="U492" i="2"/>
  <c r="U517" i="2"/>
  <c r="U436" i="2"/>
  <c r="T404" i="2"/>
  <c r="T437" i="2"/>
  <c r="T509" i="2"/>
  <c r="T393" i="2"/>
  <c r="T402" i="2"/>
  <c r="T462" i="2"/>
  <c r="U467" i="2"/>
  <c r="T484" i="2"/>
  <c r="T510" i="2"/>
  <c r="T415" i="2"/>
  <c r="T440" i="2"/>
  <c r="T463" i="2"/>
  <c r="T485" i="2"/>
  <c r="T476" i="2"/>
  <c r="V476" i="2" s="1"/>
  <c r="T498" i="2"/>
  <c r="V498" i="2" s="1"/>
  <c r="R24" i="5"/>
  <c r="R22" i="5" s="1"/>
  <c r="O8" i="4"/>
  <c r="N8" i="4"/>
  <c r="F15" i="6"/>
  <c r="L15" i="6"/>
  <c r="F5" i="6"/>
  <c r="Q15" i="6"/>
  <c r="W15" i="6"/>
  <c r="AH24" i="5" l="1"/>
  <c r="AF22" i="5"/>
  <c r="P7" i="4"/>
  <c r="W17" i="6"/>
  <c r="H5" i="6" s="1"/>
  <c r="Y25" i="6"/>
  <c r="Y20" i="6"/>
  <c r="Z24" i="6"/>
  <c r="M19" i="6"/>
  <c r="AA32" i="6"/>
  <c r="AA19" i="6"/>
  <c r="M20" i="6"/>
  <c r="AA20" i="6" s="1"/>
  <c r="Y32" i="6"/>
  <c r="Y27" i="6"/>
  <c r="M31" i="6"/>
  <c r="AA31" i="6" s="1"/>
  <c r="AA25" i="6"/>
  <c r="Y21" i="6"/>
  <c r="M35" i="6"/>
  <c r="AA35" i="6" s="1"/>
  <c r="Y22" i="6"/>
  <c r="M28" i="6"/>
  <c r="AA28" i="6" s="1"/>
  <c r="AA29" i="6"/>
  <c r="Y37" i="6"/>
  <c r="M34" i="6"/>
  <c r="AA34" i="6" s="1"/>
  <c r="AI29" i="5"/>
  <c r="AI23" i="5"/>
  <c r="H21" i="1"/>
  <c r="AI25" i="5"/>
  <c r="AI24" i="5"/>
  <c r="S28" i="5"/>
  <c r="T32" i="5"/>
  <c r="AI32" i="5"/>
  <c r="AI31" i="5"/>
  <c r="AI26" i="5"/>
  <c r="H23" i="1"/>
  <c r="AI27" i="5"/>
  <c r="S26" i="5"/>
  <c r="AJ26" i="5" s="1"/>
  <c r="H24" i="1"/>
  <c r="D24" i="1" s="1"/>
  <c r="T20" i="2"/>
  <c r="N30" i="8"/>
  <c r="T28" i="5"/>
  <c r="Y18" i="6"/>
  <c r="K17" i="6"/>
  <c r="G4" i="6" s="1"/>
  <c r="AA24" i="6"/>
  <c r="Y24" i="6"/>
  <c r="AA16" i="6"/>
  <c r="N29" i="8"/>
  <c r="Y16" i="6"/>
  <c r="V17" i="6"/>
  <c r="H4" i="6" s="1"/>
  <c r="H7" i="6" s="1"/>
  <c r="M18" i="6"/>
  <c r="M33" i="6"/>
  <c r="AA33" i="6" s="1"/>
  <c r="AA37" i="6"/>
  <c r="Z18" i="6"/>
  <c r="L17" i="6"/>
  <c r="G5" i="6" s="1"/>
  <c r="Y30" i="6"/>
  <c r="Y28" i="6"/>
  <c r="AB42" i="8"/>
  <c r="AF30" i="5"/>
  <c r="AA30" i="8"/>
  <c r="AG32" i="5"/>
  <c r="AH32" i="5"/>
  <c r="AH29" i="5"/>
  <c r="AG29" i="5"/>
  <c r="AG27" i="5"/>
  <c r="AH27" i="5"/>
  <c r="AF28" i="5"/>
  <c r="AH28" i="5" s="1"/>
  <c r="H22" i="1"/>
  <c r="AC39" i="7"/>
  <c r="AA26" i="6"/>
  <c r="AA21" i="6"/>
  <c r="AA30" i="6"/>
  <c r="AA23" i="6"/>
  <c r="AA27" i="6"/>
  <c r="AF41" i="7"/>
  <c r="X537" i="2"/>
  <c r="U532" i="2"/>
  <c r="P39" i="7"/>
  <c r="AF40" i="7"/>
  <c r="X536" i="2"/>
  <c r="X21" i="2"/>
  <c r="X535" i="2"/>
  <c r="L532" i="2"/>
  <c r="X533" i="2"/>
  <c r="AF42" i="7"/>
  <c r="N40" i="8"/>
  <c r="AB41" i="8"/>
  <c r="X534" i="2"/>
  <c r="Y40" i="8"/>
  <c r="N27" i="8"/>
  <c r="AA27" i="8"/>
  <c r="O28" i="8"/>
  <c r="L3" i="4"/>
  <c r="Q20" i="7"/>
  <c r="AC20" i="7" s="1"/>
  <c r="O19" i="7"/>
  <c r="O22" i="8"/>
  <c r="X20" i="8"/>
  <c r="F5" i="8" s="1"/>
  <c r="N25" i="8"/>
  <c r="O24" i="8"/>
  <c r="M20" i="8"/>
  <c r="AC21" i="8"/>
  <c r="P22" i="7"/>
  <c r="P23" i="7"/>
  <c r="Y379" i="2"/>
  <c r="Y131" i="2"/>
  <c r="Y325" i="2"/>
  <c r="Y310" i="2"/>
  <c r="Y200" i="2"/>
  <c r="Y276" i="2"/>
  <c r="Y44" i="2"/>
  <c r="Y106" i="2"/>
  <c r="Y345" i="2"/>
  <c r="Y219" i="2"/>
  <c r="Y272" i="2"/>
  <c r="Y441" i="2"/>
  <c r="Y285" i="2"/>
  <c r="Y91" i="2"/>
  <c r="Y428" i="2"/>
  <c r="Y390" i="2"/>
  <c r="Y103" i="2"/>
  <c r="K20" i="2"/>
  <c r="F21" i="1" s="1"/>
  <c r="Y23" i="8"/>
  <c r="AB23" i="8" s="1"/>
  <c r="Z23" i="8"/>
  <c r="AC23" i="8" s="1"/>
  <c r="Y22" i="8"/>
  <c r="AB22" i="8" s="1"/>
  <c r="Z22" i="8"/>
  <c r="Y29" i="8"/>
  <c r="Z29" i="8"/>
  <c r="AC29" i="8" s="1"/>
  <c r="Y30" i="8"/>
  <c r="Z30" i="8"/>
  <c r="AC30" i="8" s="1"/>
  <c r="Y28" i="8"/>
  <c r="Z28" i="8"/>
  <c r="Y24" i="8"/>
  <c r="AB24" i="8" s="1"/>
  <c r="Z24" i="8"/>
  <c r="Y25" i="8"/>
  <c r="Z25" i="8"/>
  <c r="AC25" i="8" s="1"/>
  <c r="Y26" i="8"/>
  <c r="AB26" i="8" s="1"/>
  <c r="Z26" i="8"/>
  <c r="AC26" i="8" s="1"/>
  <c r="Y27" i="8"/>
  <c r="Z27" i="8"/>
  <c r="AC27" i="8" s="1"/>
  <c r="AC25" i="7"/>
  <c r="AD25" i="7"/>
  <c r="AG25" i="7" s="1"/>
  <c r="AC27" i="7"/>
  <c r="AD27" i="7"/>
  <c r="P29" i="7"/>
  <c r="Q29" i="7"/>
  <c r="AC24" i="7"/>
  <c r="AD24" i="7"/>
  <c r="AC21" i="7"/>
  <c r="AD21" i="7"/>
  <c r="P26" i="7"/>
  <c r="Q26" i="7"/>
  <c r="AC22" i="7"/>
  <c r="AD22" i="7"/>
  <c r="AG22" i="7" s="1"/>
  <c r="P24" i="7"/>
  <c r="Q24" i="7"/>
  <c r="AC29" i="7"/>
  <c r="AD29" i="7"/>
  <c r="AC23" i="7"/>
  <c r="AD23" i="7"/>
  <c r="AG23" i="7" s="1"/>
  <c r="P28" i="7"/>
  <c r="Q28" i="7"/>
  <c r="P27" i="7"/>
  <c r="Q27" i="7"/>
  <c r="AC28" i="7"/>
  <c r="AD28" i="7"/>
  <c r="AC26" i="7"/>
  <c r="AD26" i="7"/>
  <c r="P21" i="7"/>
  <c r="Q21" i="7"/>
  <c r="P25" i="7"/>
  <c r="Y27" i="2"/>
  <c r="Y36" i="2"/>
  <c r="Y286" i="2"/>
  <c r="Y89" i="2"/>
  <c r="Y122" i="2"/>
  <c r="Y168" i="2"/>
  <c r="Y216" i="2"/>
  <c r="Y498" i="2"/>
  <c r="Y267" i="2"/>
  <c r="Y333" i="2"/>
  <c r="Y235" i="2"/>
  <c r="Y145" i="2"/>
  <c r="Y298" i="2"/>
  <c r="Y280" i="2"/>
  <c r="Y119" i="2"/>
  <c r="Y347" i="2"/>
  <c r="Y370" i="2"/>
  <c r="Y244" i="2"/>
  <c r="Y269" i="2"/>
  <c r="Y329" i="2"/>
  <c r="Y289" i="2"/>
  <c r="Y66" i="2"/>
  <c r="Y266" i="2"/>
  <c r="T27" i="5"/>
  <c r="S24" i="5"/>
  <c r="T25" i="5"/>
  <c r="AK25" i="5" s="1"/>
  <c r="T26" i="5"/>
  <c r="T31" i="5"/>
  <c r="AK31" i="5" s="1"/>
  <c r="T29" i="5"/>
  <c r="Y86" i="2"/>
  <c r="Y356" i="2"/>
  <c r="Y460" i="2"/>
  <c r="Y366" i="2"/>
  <c r="Y215" i="2"/>
  <c r="Y447" i="2"/>
  <c r="Y190" i="2"/>
  <c r="Y141" i="2"/>
  <c r="Y113" i="2"/>
  <c r="Y378" i="2"/>
  <c r="Y258" i="2"/>
  <c r="Y431" i="2"/>
  <c r="Y194" i="2"/>
  <c r="Y252" i="2"/>
  <c r="Y213" i="2"/>
  <c r="Y222" i="2"/>
  <c r="Y120" i="2"/>
  <c r="Y353" i="2"/>
  <c r="Y301" i="2"/>
  <c r="Y476" i="2"/>
  <c r="Y474" i="2"/>
  <c r="Y191" i="2"/>
  <c r="Y92" i="2"/>
  <c r="Y84" i="2"/>
  <c r="Y321" i="2"/>
  <c r="Y354" i="2"/>
  <c r="Y263" i="2"/>
  <c r="Y147" i="2"/>
  <c r="Y160" i="2"/>
  <c r="Y61" i="2"/>
  <c r="Y247" i="2"/>
  <c r="Y425" i="2"/>
  <c r="Y373" i="2"/>
  <c r="Y361" i="2"/>
  <c r="Y138" i="2"/>
  <c r="Y30" i="2"/>
  <c r="Y248" i="2"/>
  <c r="Y39" i="2"/>
  <c r="Y375" i="2"/>
  <c r="Y303" i="2"/>
  <c r="Y257" i="2"/>
  <c r="Y230" i="2"/>
  <c r="Y439" i="2"/>
  <c r="AA25" i="8"/>
  <c r="AA26" i="8"/>
  <c r="AA23" i="8"/>
  <c r="S27" i="5"/>
  <c r="S29" i="5"/>
  <c r="S31" i="5"/>
  <c r="S32" i="5"/>
  <c r="S25" i="5"/>
  <c r="U494" i="2"/>
  <c r="X494" i="2" s="1"/>
  <c r="V494" i="2"/>
  <c r="Y494" i="2" s="1"/>
  <c r="U482" i="2"/>
  <c r="V482" i="2"/>
  <c r="Y482" i="2" s="1"/>
  <c r="Y341" i="2"/>
  <c r="U387" i="2"/>
  <c r="V387" i="2"/>
  <c r="Y387" i="2" s="1"/>
  <c r="U224" i="2"/>
  <c r="V224" i="2"/>
  <c r="Y224" i="2" s="1"/>
  <c r="U193" i="2"/>
  <c r="V193" i="2"/>
  <c r="Y193" i="2" s="1"/>
  <c r="U463" i="2"/>
  <c r="V463" i="2"/>
  <c r="Y463" i="2" s="1"/>
  <c r="U462" i="2"/>
  <c r="V462" i="2"/>
  <c r="Y462" i="2" s="1"/>
  <c r="U464" i="2"/>
  <c r="X464" i="2" s="1"/>
  <c r="V464" i="2"/>
  <c r="Y464" i="2" s="1"/>
  <c r="U270" i="2"/>
  <c r="V270" i="2"/>
  <c r="Y270" i="2" s="1"/>
  <c r="U404" i="2"/>
  <c r="X404" i="2" s="1"/>
  <c r="V404" i="2"/>
  <c r="Y404" i="2" s="1"/>
  <c r="U242" i="2"/>
  <c r="V242" i="2"/>
  <c r="Y242" i="2" s="1"/>
  <c r="U32" i="2"/>
  <c r="V32" i="2"/>
  <c r="Y32" i="2" s="1"/>
  <c r="W116" i="2"/>
  <c r="Y116" i="2"/>
  <c r="X76" i="2"/>
  <c r="Y76" i="2"/>
  <c r="U23" i="2"/>
  <c r="V23" i="2"/>
  <c r="Y23" i="2" s="1"/>
  <c r="U481" i="2"/>
  <c r="V481" i="2"/>
  <c r="Y481" i="2" s="1"/>
  <c r="U104" i="2"/>
  <c r="V104" i="2"/>
  <c r="Y104" i="2" s="1"/>
  <c r="X26" i="2"/>
  <c r="Y26" i="2"/>
  <c r="U393" i="2"/>
  <c r="V393" i="2"/>
  <c r="Y393" i="2" s="1"/>
  <c r="U62" i="2"/>
  <c r="X62" i="2" s="1"/>
  <c r="V62" i="2"/>
  <c r="Y62" i="2" s="1"/>
  <c r="W260" i="2"/>
  <c r="Y260" i="2"/>
  <c r="X423" i="2"/>
  <c r="Y423" i="2"/>
  <c r="U50" i="2"/>
  <c r="X50" i="2" s="1"/>
  <c r="V50" i="2"/>
  <c r="Y50" i="2" s="1"/>
  <c r="U74" i="2"/>
  <c r="X74" i="2" s="1"/>
  <c r="V74" i="2"/>
  <c r="Y74" i="2" s="1"/>
  <c r="U49" i="2"/>
  <c r="X49" i="2" s="1"/>
  <c r="V49" i="2"/>
  <c r="Y49" i="2" s="1"/>
  <c r="U461" i="2"/>
  <c r="X461" i="2" s="1"/>
  <c r="V461" i="2"/>
  <c r="Y461" i="2" s="1"/>
  <c r="U458" i="2"/>
  <c r="X458" i="2" s="1"/>
  <c r="V458" i="2"/>
  <c r="Y458" i="2" s="1"/>
  <c r="U466" i="2"/>
  <c r="X466" i="2" s="1"/>
  <c r="V466" i="2"/>
  <c r="Y466" i="2" s="1"/>
  <c r="X214" i="2"/>
  <c r="Y214" i="2"/>
  <c r="U245" i="2"/>
  <c r="X245" i="2" s="1"/>
  <c r="V245" i="2"/>
  <c r="Y245" i="2" s="1"/>
  <c r="U229" i="2"/>
  <c r="X229" i="2" s="1"/>
  <c r="V229" i="2"/>
  <c r="Y229" i="2" s="1"/>
  <c r="W417" i="2"/>
  <c r="V417" i="2"/>
  <c r="Y417" i="2" s="1"/>
  <c r="U295" i="2"/>
  <c r="X295" i="2" s="1"/>
  <c r="V295" i="2"/>
  <c r="Y295" i="2" s="1"/>
  <c r="U508" i="2"/>
  <c r="X508" i="2" s="1"/>
  <c r="V508" i="2"/>
  <c r="Y508" i="2" s="1"/>
  <c r="X118" i="2"/>
  <c r="Y118" i="2"/>
  <c r="U374" i="2"/>
  <c r="X374" i="2" s="1"/>
  <c r="V374" i="2"/>
  <c r="Y374" i="2" s="1"/>
  <c r="U228" i="2"/>
  <c r="X228" i="2" s="1"/>
  <c r="V228" i="2"/>
  <c r="Y228" i="2" s="1"/>
  <c r="U209" i="2"/>
  <c r="X209" i="2" s="1"/>
  <c r="V209" i="2"/>
  <c r="Y209" i="2" s="1"/>
  <c r="W251" i="2"/>
  <c r="Y251" i="2"/>
  <c r="W503" i="2"/>
  <c r="Y503" i="2"/>
  <c r="U135" i="2"/>
  <c r="V135" i="2"/>
  <c r="W58" i="2"/>
  <c r="Y58" i="2"/>
  <c r="X164" i="2"/>
  <c r="Y164" i="2"/>
  <c r="X243" i="2"/>
  <c r="Y243" i="2"/>
  <c r="X396" i="2"/>
  <c r="Y396" i="2"/>
  <c r="W396" i="2"/>
  <c r="X454" i="2"/>
  <c r="Y454" i="2"/>
  <c r="U382" i="2"/>
  <c r="X382" i="2" s="1"/>
  <c r="V382" i="2"/>
  <c r="Y382" i="2" s="1"/>
  <c r="W146" i="2"/>
  <c r="V146" i="2"/>
  <c r="Y146" i="2" s="1"/>
  <c r="U352" i="2"/>
  <c r="X352" i="2" s="1"/>
  <c r="V352" i="2"/>
  <c r="Y352" i="2" s="1"/>
  <c r="X436" i="2"/>
  <c r="Y436" i="2"/>
  <c r="U435" i="2"/>
  <c r="X435" i="2" s="1"/>
  <c r="V435" i="2"/>
  <c r="Y435" i="2" s="1"/>
  <c r="W299" i="2"/>
  <c r="V299" i="2"/>
  <c r="Y299" i="2" s="1"/>
  <c r="X176" i="2"/>
  <c r="Y176" i="2"/>
  <c r="U204" i="2"/>
  <c r="X204" i="2" s="1"/>
  <c r="V204" i="2"/>
  <c r="Y204" i="2" s="1"/>
  <c r="W388" i="2"/>
  <c r="Y388" i="2"/>
  <c r="X85" i="2"/>
  <c r="Y85" i="2"/>
  <c r="U365" i="2"/>
  <c r="X365" i="2" s="1"/>
  <c r="V365" i="2"/>
  <c r="Y365" i="2" s="1"/>
  <c r="X364" i="2"/>
  <c r="Y364" i="2"/>
  <c r="U220" i="2"/>
  <c r="X220" i="2" s="1"/>
  <c r="V220" i="2"/>
  <c r="Y220" i="2" s="1"/>
  <c r="U217" i="2"/>
  <c r="X217" i="2" s="1"/>
  <c r="V217" i="2"/>
  <c r="Y217" i="2" s="1"/>
  <c r="U35" i="2"/>
  <c r="V35" i="2"/>
  <c r="Y35" i="2" s="1"/>
  <c r="U51" i="2"/>
  <c r="V51" i="2"/>
  <c r="Y51" i="2" s="1"/>
  <c r="U45" i="2"/>
  <c r="V45" i="2"/>
  <c r="Y45" i="2" s="1"/>
  <c r="X234" i="2"/>
  <c r="Y234" i="2"/>
  <c r="Y293" i="2"/>
  <c r="X130" i="2"/>
  <c r="Y130" i="2"/>
  <c r="U180" i="2"/>
  <c r="X180" i="2" s="1"/>
  <c r="V180" i="2"/>
  <c r="Y180" i="2" s="1"/>
  <c r="U249" i="2"/>
  <c r="X249" i="2" s="1"/>
  <c r="V249" i="2"/>
  <c r="Y249" i="2" s="1"/>
  <c r="U485" i="2"/>
  <c r="V485" i="2"/>
  <c r="Y485" i="2" s="1"/>
  <c r="U154" i="2"/>
  <c r="V154" i="2"/>
  <c r="Y154" i="2" s="1"/>
  <c r="U483" i="2"/>
  <c r="X483" i="2" s="1"/>
  <c r="V483" i="2"/>
  <c r="Y483" i="2" s="1"/>
  <c r="U22" i="2"/>
  <c r="X22" i="2" s="1"/>
  <c r="V22" i="2"/>
  <c r="Y22" i="2" s="1"/>
  <c r="W33" i="2"/>
  <c r="Y33" i="2"/>
  <c r="W320" i="2"/>
  <c r="Y320" i="2"/>
  <c r="U67" i="2"/>
  <c r="X67" i="2" s="1"/>
  <c r="V67" i="2"/>
  <c r="Y67" i="2" s="1"/>
  <c r="U38" i="2"/>
  <c r="V38" i="2"/>
  <c r="Y38" i="2" s="1"/>
  <c r="X283" i="2"/>
  <c r="Y283" i="2"/>
  <c r="X500" i="2"/>
  <c r="Y500" i="2"/>
  <c r="U511" i="2"/>
  <c r="X511" i="2" s="1"/>
  <c r="V511" i="2"/>
  <c r="Y511" i="2" s="1"/>
  <c r="U163" i="2"/>
  <c r="V163" i="2"/>
  <c r="Y163" i="2" s="1"/>
  <c r="U386" i="2"/>
  <c r="X386" i="2" s="1"/>
  <c r="V386" i="2"/>
  <c r="Y386" i="2" s="1"/>
  <c r="W205" i="2"/>
  <c r="V205" i="2"/>
  <c r="Y205" i="2" s="1"/>
  <c r="W197" i="2"/>
  <c r="Y197" i="2"/>
  <c r="U351" i="2"/>
  <c r="V351" i="2"/>
  <c r="W233" i="2"/>
  <c r="Y233" i="2"/>
  <c r="U185" i="2"/>
  <c r="X185" i="2" s="1"/>
  <c r="V185" i="2"/>
  <c r="Y185" i="2" s="1"/>
  <c r="U284" i="2"/>
  <c r="X284" i="2" s="1"/>
  <c r="V284" i="2"/>
  <c r="Y284" i="2" s="1"/>
  <c r="U96" i="2"/>
  <c r="V96" i="2"/>
  <c r="Y96" i="2" s="1"/>
  <c r="U392" i="2"/>
  <c r="V392" i="2"/>
  <c r="X208" i="2"/>
  <c r="Y208" i="2"/>
  <c r="U377" i="2"/>
  <c r="V377" i="2"/>
  <c r="U203" i="2"/>
  <c r="V203" i="2"/>
  <c r="X422" i="2"/>
  <c r="Y422" i="2"/>
  <c r="X112" i="2"/>
  <c r="Y112" i="2"/>
  <c r="W407" i="2"/>
  <c r="Y407" i="2"/>
  <c r="U246" i="2"/>
  <c r="X246" i="2" s="1"/>
  <c r="V246" i="2"/>
  <c r="Y246" i="2" s="1"/>
  <c r="W368" i="2"/>
  <c r="V368" i="2"/>
  <c r="Y368" i="2" s="1"/>
  <c r="X227" i="2"/>
  <c r="Y227" i="2"/>
  <c r="U380" i="2"/>
  <c r="X380" i="2" s="1"/>
  <c r="V380" i="2"/>
  <c r="Y380" i="2" s="1"/>
  <c r="U444" i="2"/>
  <c r="V444" i="2"/>
  <c r="Y444" i="2" s="1"/>
  <c r="U309" i="2"/>
  <c r="V309" i="2"/>
  <c r="Y309" i="2" s="1"/>
  <c r="U264" i="2"/>
  <c r="X264" i="2" s="1"/>
  <c r="V264" i="2"/>
  <c r="Y264" i="2" s="1"/>
  <c r="U231" i="2"/>
  <c r="V231" i="2"/>
  <c r="Y231" i="2" s="1"/>
  <c r="Y46" i="2"/>
  <c r="X363" i="2"/>
  <c r="Y363" i="2"/>
  <c r="U489" i="2"/>
  <c r="X489" i="2" s="1"/>
  <c r="V489" i="2"/>
  <c r="Y489" i="2" s="1"/>
  <c r="X405" i="2"/>
  <c r="Y405" i="2"/>
  <c r="X518" i="2"/>
  <c r="Y518" i="2"/>
  <c r="U167" i="2"/>
  <c r="X167" i="2" s="1"/>
  <c r="V167" i="2"/>
  <c r="Y167" i="2" s="1"/>
  <c r="W371" i="2"/>
  <c r="V371" i="2"/>
  <c r="Y371" i="2" s="1"/>
  <c r="Y383" i="2"/>
  <c r="U479" i="2"/>
  <c r="V479" i="2"/>
  <c r="U81" i="2"/>
  <c r="X81" i="2" s="1"/>
  <c r="V81" i="2"/>
  <c r="Y81" i="2" s="1"/>
  <c r="U408" i="2"/>
  <c r="X408" i="2" s="1"/>
  <c r="V408" i="2"/>
  <c r="Y408" i="2" s="1"/>
  <c r="U317" i="2"/>
  <c r="X317" i="2" s="1"/>
  <c r="V317" i="2"/>
  <c r="Y317" i="2" s="1"/>
  <c r="U314" i="2"/>
  <c r="X314" i="2" s="1"/>
  <c r="V314" i="2"/>
  <c r="Y314" i="2" s="1"/>
  <c r="X182" i="2"/>
  <c r="Y182" i="2"/>
  <c r="X398" i="2"/>
  <c r="Y398" i="2"/>
  <c r="U42" i="2"/>
  <c r="X42" i="2" s="1"/>
  <c r="V42" i="2"/>
  <c r="Y42" i="2" s="1"/>
  <c r="W504" i="2"/>
  <c r="Y504" i="2"/>
  <c r="W133" i="2"/>
  <c r="V133" i="2"/>
  <c r="Y133" i="2" s="1"/>
  <c r="W470" i="2"/>
  <c r="V470" i="2"/>
  <c r="Y470" i="2" s="1"/>
  <c r="U136" i="2"/>
  <c r="X136" i="2" s="1"/>
  <c r="V136" i="2"/>
  <c r="Y136" i="2" s="1"/>
  <c r="X448" i="2"/>
  <c r="Y448" i="2"/>
  <c r="U369" i="2"/>
  <c r="X369" i="2" s="1"/>
  <c r="V369" i="2"/>
  <c r="Y369" i="2" s="1"/>
  <c r="X330" i="2"/>
  <c r="Y330" i="2"/>
  <c r="U406" i="2"/>
  <c r="X406" i="2" s="1"/>
  <c r="V406" i="2"/>
  <c r="Y406" i="2" s="1"/>
  <c r="W79" i="2"/>
  <c r="Y79" i="2"/>
  <c r="W150" i="2"/>
  <c r="Y150" i="2"/>
  <c r="U277" i="2"/>
  <c r="X277" i="2" s="1"/>
  <c r="V277" i="2"/>
  <c r="Y277" i="2" s="1"/>
  <c r="U24" i="2"/>
  <c r="V24" i="2"/>
  <c r="U465" i="2"/>
  <c r="V465" i="2"/>
  <c r="Y465" i="2" s="1"/>
  <c r="U275" i="2"/>
  <c r="V275" i="2"/>
  <c r="Y275" i="2" s="1"/>
  <c r="Y210" i="2"/>
  <c r="U189" i="2"/>
  <c r="X189" i="2" s="1"/>
  <c r="V189" i="2"/>
  <c r="Y189" i="2" s="1"/>
  <c r="U402" i="2"/>
  <c r="V402" i="2"/>
  <c r="Y402" i="2" s="1"/>
  <c r="U450" i="2"/>
  <c r="V450" i="2"/>
  <c r="Y450" i="2" s="1"/>
  <c r="Y403" i="2"/>
  <c r="Y328" i="2"/>
  <c r="U123" i="2"/>
  <c r="V123" i="2"/>
  <c r="Y123" i="2" s="1"/>
  <c r="U173" i="2"/>
  <c r="V173" i="2"/>
  <c r="Y173" i="2" s="1"/>
  <c r="U41" i="2"/>
  <c r="V41" i="2"/>
  <c r="Y41" i="2" s="1"/>
  <c r="U70" i="2"/>
  <c r="V70" i="2"/>
  <c r="Y70" i="2" s="1"/>
  <c r="Y117" i="2"/>
  <c r="U477" i="2"/>
  <c r="X477" i="2" s="1"/>
  <c r="V477" i="2"/>
  <c r="Y477" i="2" s="1"/>
  <c r="U355" i="2"/>
  <c r="V355" i="2"/>
  <c r="Y355" i="2" s="1"/>
  <c r="U201" i="2"/>
  <c r="V201" i="2"/>
  <c r="W385" i="2"/>
  <c r="Y385" i="2"/>
  <c r="U496" i="2"/>
  <c r="V496" i="2"/>
  <c r="W449" i="2"/>
  <c r="Y449" i="2"/>
  <c r="X151" i="2"/>
  <c r="Y151" i="2"/>
  <c r="W308" i="2"/>
  <c r="V308" i="2"/>
  <c r="Y308" i="2" s="1"/>
  <c r="X153" i="2"/>
  <c r="Y153" i="2"/>
  <c r="U400" i="2"/>
  <c r="X400" i="2" s="1"/>
  <c r="V400" i="2"/>
  <c r="Y400" i="2" s="1"/>
  <c r="X187" i="2"/>
  <c r="Y187" i="2"/>
  <c r="W202" i="2"/>
  <c r="V202" i="2"/>
  <c r="Y202" i="2" s="1"/>
  <c r="W162" i="2"/>
  <c r="Y162" i="2"/>
  <c r="W357" i="2"/>
  <c r="Y357" i="2"/>
  <c r="U337" i="2"/>
  <c r="X337" i="2" s="1"/>
  <c r="V337" i="2"/>
  <c r="Y337" i="2" s="1"/>
  <c r="U478" i="2"/>
  <c r="X478" i="2" s="1"/>
  <c r="V478" i="2"/>
  <c r="Y478" i="2" s="1"/>
  <c r="W125" i="2"/>
  <c r="Y125" i="2"/>
  <c r="W495" i="2"/>
  <c r="V495" i="2"/>
  <c r="Y495" i="2" s="1"/>
  <c r="X232" i="2"/>
  <c r="Y232" i="2"/>
  <c r="U501" i="2"/>
  <c r="X501" i="2" s="1"/>
  <c r="V501" i="2"/>
  <c r="Y501" i="2" s="1"/>
  <c r="U497" i="2"/>
  <c r="X497" i="2" s="1"/>
  <c r="V497" i="2"/>
  <c r="Y497" i="2" s="1"/>
  <c r="Y499" i="2"/>
  <c r="U440" i="2"/>
  <c r="V440" i="2"/>
  <c r="Y440" i="2" s="1"/>
  <c r="U427" i="2"/>
  <c r="V427" i="2"/>
  <c r="Y427" i="2" s="1"/>
  <c r="U221" i="2"/>
  <c r="V221" i="2"/>
  <c r="Y221" i="2" s="1"/>
  <c r="U261" i="2"/>
  <c r="V261" i="2"/>
  <c r="Y261" i="2" s="1"/>
  <c r="Y225" i="2"/>
  <c r="U253" i="2"/>
  <c r="V253" i="2"/>
  <c r="Y253" i="2" s="1"/>
  <c r="U199" i="2"/>
  <c r="V199" i="2"/>
  <c r="Y199" i="2" s="1"/>
  <c r="U68" i="2"/>
  <c r="X68" i="2" s="1"/>
  <c r="V68" i="2"/>
  <c r="Y68" i="2" s="1"/>
  <c r="U98" i="2"/>
  <c r="V98" i="2"/>
  <c r="Y98" i="2" s="1"/>
  <c r="Y95" i="2"/>
  <c r="X166" i="2"/>
  <c r="Y166" i="2"/>
  <c r="X467" i="2"/>
  <c r="Y467" i="2"/>
  <c r="Y349" i="2"/>
  <c r="U480" i="2"/>
  <c r="X480" i="2" s="1"/>
  <c r="V480" i="2"/>
  <c r="Y480" i="2" s="1"/>
  <c r="W426" i="2"/>
  <c r="V426" i="2"/>
  <c r="Y426" i="2" s="1"/>
  <c r="U97" i="2"/>
  <c r="V97" i="2"/>
  <c r="Y97" i="2" s="1"/>
  <c r="Y290" i="2"/>
  <c r="U111" i="2"/>
  <c r="V111" i="2"/>
  <c r="Y111" i="2" s="1"/>
  <c r="U52" i="2"/>
  <c r="V52" i="2"/>
  <c r="Y52" i="2" s="1"/>
  <c r="U414" i="2"/>
  <c r="V414" i="2"/>
  <c r="U514" i="2"/>
  <c r="V514" i="2"/>
  <c r="U360" i="2"/>
  <c r="X360" i="2" s="1"/>
  <c r="V360" i="2"/>
  <c r="Y360" i="2" s="1"/>
  <c r="W134" i="2"/>
  <c r="Y134" i="2"/>
  <c r="W88" i="2"/>
  <c r="Y88" i="2"/>
  <c r="U255" i="2"/>
  <c r="X255" i="2" s="1"/>
  <c r="V255" i="2"/>
  <c r="Y255" i="2" s="1"/>
  <c r="U348" i="2"/>
  <c r="X348" i="2" s="1"/>
  <c r="V348" i="2"/>
  <c r="Y348" i="2" s="1"/>
  <c r="W322" i="2"/>
  <c r="Y322" i="2"/>
  <c r="W471" i="2"/>
  <c r="Y471" i="2"/>
  <c r="U115" i="2"/>
  <c r="X115" i="2" s="1"/>
  <c r="V115" i="2"/>
  <c r="Y115" i="2" s="1"/>
  <c r="X411" i="2"/>
  <c r="Y411" i="2"/>
  <c r="X493" i="2"/>
  <c r="Y493" i="2"/>
  <c r="U472" i="2"/>
  <c r="X472" i="2" s="1"/>
  <c r="V472" i="2"/>
  <c r="Y472" i="2" s="1"/>
  <c r="W468" i="2"/>
  <c r="Y468" i="2"/>
  <c r="Y430" i="2"/>
  <c r="U359" i="2"/>
  <c r="V359" i="2"/>
  <c r="Y359" i="2" s="1"/>
  <c r="U178" i="2"/>
  <c r="X178" i="2" s="1"/>
  <c r="V178" i="2"/>
  <c r="Y178" i="2" s="1"/>
  <c r="U171" i="2"/>
  <c r="V171" i="2"/>
  <c r="Y171" i="2" s="1"/>
  <c r="W311" i="2"/>
  <c r="Y311" i="2"/>
  <c r="U451" i="2"/>
  <c r="X451" i="2" s="1"/>
  <c r="V451" i="2"/>
  <c r="Y451" i="2" s="1"/>
  <c r="U305" i="2"/>
  <c r="V305" i="2"/>
  <c r="U469" i="2"/>
  <c r="V469" i="2"/>
  <c r="U137" i="2"/>
  <c r="V137" i="2"/>
  <c r="Y137" i="2" s="1"/>
  <c r="U418" i="2"/>
  <c r="V418" i="2"/>
  <c r="Y65" i="2"/>
  <c r="U109" i="2"/>
  <c r="X109" i="2" s="1"/>
  <c r="V109" i="2"/>
  <c r="Y109" i="2" s="1"/>
  <c r="U206" i="2"/>
  <c r="X206" i="2" s="1"/>
  <c r="V206" i="2"/>
  <c r="Y206" i="2" s="1"/>
  <c r="X306" i="2"/>
  <c r="Y306" i="2"/>
  <c r="X433" i="2"/>
  <c r="Y433" i="2"/>
  <c r="W212" i="2"/>
  <c r="Y212" i="2"/>
  <c r="X473" i="2"/>
  <c r="Y473" i="2"/>
  <c r="W456" i="2"/>
  <c r="Y456" i="2"/>
  <c r="U415" i="2"/>
  <c r="V415" i="2"/>
  <c r="Y415" i="2" s="1"/>
  <c r="U184" i="2"/>
  <c r="X184" i="2" s="1"/>
  <c r="V184" i="2"/>
  <c r="Y184" i="2" s="1"/>
  <c r="Y55" i="2"/>
  <c r="U29" i="2"/>
  <c r="V29" i="2"/>
  <c r="Y29" i="2" s="1"/>
  <c r="U259" i="2"/>
  <c r="X259" i="2" s="1"/>
  <c r="V259" i="2"/>
  <c r="Y259" i="2" s="1"/>
  <c r="W446" i="2"/>
  <c r="Y446" i="2"/>
  <c r="U172" i="2"/>
  <c r="V172" i="2"/>
  <c r="Y172" i="2" s="1"/>
  <c r="W399" i="2"/>
  <c r="Y399" i="2"/>
  <c r="U183" i="2"/>
  <c r="V183" i="2"/>
  <c r="W109" i="2"/>
  <c r="U313" i="2"/>
  <c r="X313" i="2" s="1"/>
  <c r="V313" i="2"/>
  <c r="Y313" i="2" s="1"/>
  <c r="W350" i="2"/>
  <c r="Y350" i="2"/>
  <c r="X302" i="2"/>
  <c r="Y302" i="2"/>
  <c r="U346" i="2"/>
  <c r="X346" i="2" s="1"/>
  <c r="V346" i="2"/>
  <c r="Y346" i="2" s="1"/>
  <c r="X475" i="2"/>
  <c r="Y475" i="2"/>
  <c r="U56" i="2"/>
  <c r="X56" i="2" s="1"/>
  <c r="V56" i="2"/>
  <c r="Y56" i="2" s="1"/>
  <c r="U409" i="2"/>
  <c r="V409" i="2"/>
  <c r="Y409" i="2" s="1"/>
  <c r="Y274" i="2"/>
  <c r="U223" i="2"/>
  <c r="X223" i="2" s="1"/>
  <c r="V223" i="2"/>
  <c r="Y223" i="2" s="1"/>
  <c r="U174" i="2"/>
  <c r="V174" i="2"/>
  <c r="Y174" i="2" s="1"/>
  <c r="Y169" i="2"/>
  <c r="U143" i="2"/>
  <c r="V143" i="2"/>
  <c r="Y143" i="2" s="1"/>
  <c r="U107" i="2"/>
  <c r="V107" i="2"/>
  <c r="Y107" i="2" s="1"/>
  <c r="U198" i="2"/>
  <c r="X198" i="2" s="1"/>
  <c r="V198" i="2"/>
  <c r="Y198" i="2" s="1"/>
  <c r="X442" i="2"/>
  <c r="Y442" i="2"/>
  <c r="U99" i="2"/>
  <c r="V99" i="2"/>
  <c r="U296" i="2"/>
  <c r="X296" i="2" s="1"/>
  <c r="V296" i="2"/>
  <c r="Y296" i="2" s="1"/>
  <c r="X71" i="2"/>
  <c r="Y71" i="2"/>
  <c r="U155" i="2"/>
  <c r="X155" i="2" s="1"/>
  <c r="V155" i="2"/>
  <c r="Y155" i="2" s="1"/>
  <c r="U69" i="2"/>
  <c r="V69" i="2"/>
  <c r="U429" i="2"/>
  <c r="V429" i="2"/>
  <c r="Y429" i="2" s="1"/>
  <c r="U307" i="2"/>
  <c r="V307" i="2"/>
  <c r="Y307" i="2" s="1"/>
  <c r="W149" i="2"/>
  <c r="V149" i="2"/>
  <c r="Y149" i="2" s="1"/>
  <c r="U453" i="2"/>
  <c r="V453" i="2"/>
  <c r="U304" i="2"/>
  <c r="X304" i="2" s="1"/>
  <c r="V304" i="2"/>
  <c r="Y304" i="2" s="1"/>
  <c r="U186" i="2"/>
  <c r="X186" i="2" s="1"/>
  <c r="V186" i="2"/>
  <c r="Y186" i="2" s="1"/>
  <c r="X319" i="2"/>
  <c r="Y319" i="2"/>
  <c r="U332" i="2"/>
  <c r="X332" i="2" s="1"/>
  <c r="V332" i="2"/>
  <c r="Y332" i="2" s="1"/>
  <c r="U294" i="2"/>
  <c r="X294" i="2" s="1"/>
  <c r="V294" i="2"/>
  <c r="Y294" i="2" s="1"/>
  <c r="U519" i="2"/>
  <c r="X519" i="2" s="1"/>
  <c r="V519" i="2"/>
  <c r="Y519" i="2" s="1"/>
  <c r="X338" i="2"/>
  <c r="Y338" i="2"/>
  <c r="W25" i="2"/>
  <c r="V25" i="2"/>
  <c r="Y25" i="2" s="1"/>
  <c r="U148" i="2"/>
  <c r="X148" i="2" s="1"/>
  <c r="V148" i="2"/>
  <c r="Y148" i="2" s="1"/>
  <c r="W239" i="2"/>
  <c r="V239" i="2"/>
  <c r="Y239" i="2" s="1"/>
  <c r="U327" i="2"/>
  <c r="X327" i="2" s="1"/>
  <c r="V327" i="2"/>
  <c r="Y327" i="2" s="1"/>
  <c r="W188" i="2"/>
  <c r="Y188" i="2"/>
  <c r="U343" i="2"/>
  <c r="X343" i="2" s="1"/>
  <c r="V343" i="2"/>
  <c r="Y343" i="2" s="1"/>
  <c r="Y445" i="2"/>
  <c r="U434" i="2"/>
  <c r="V434" i="2"/>
  <c r="Y434" i="2" s="1"/>
  <c r="U513" i="2"/>
  <c r="V513" i="2"/>
  <c r="Y513" i="2" s="1"/>
  <c r="U381" i="2"/>
  <c r="V381" i="2"/>
  <c r="Y381" i="2" s="1"/>
  <c r="U195" i="2"/>
  <c r="X195" i="2" s="1"/>
  <c r="V195" i="2"/>
  <c r="Y195" i="2" s="1"/>
  <c r="U128" i="2"/>
  <c r="V128" i="2"/>
  <c r="Y128" i="2" s="1"/>
  <c r="U43" i="2"/>
  <c r="X43" i="2" s="1"/>
  <c r="V43" i="2"/>
  <c r="Y43" i="2" s="1"/>
  <c r="X157" i="2"/>
  <c r="Y157" i="2"/>
  <c r="U318" i="2"/>
  <c r="V318" i="2"/>
  <c r="U491" i="2"/>
  <c r="V491" i="2"/>
  <c r="Y491" i="2" s="1"/>
  <c r="U238" i="2"/>
  <c r="V238" i="2"/>
  <c r="X421" i="2"/>
  <c r="Y421" i="2"/>
  <c r="U502" i="2"/>
  <c r="V502" i="2"/>
  <c r="U237" i="2"/>
  <c r="V237" i="2"/>
  <c r="U336" i="2"/>
  <c r="X336" i="2" s="1"/>
  <c r="V336" i="2"/>
  <c r="Y336" i="2" s="1"/>
  <c r="U59" i="2"/>
  <c r="X59" i="2" s="1"/>
  <c r="V59" i="2"/>
  <c r="Y59" i="2" s="1"/>
  <c r="X339" i="2"/>
  <c r="Y339" i="2"/>
  <c r="U108" i="2"/>
  <c r="X108" i="2" s="1"/>
  <c r="V108" i="2"/>
  <c r="Y108" i="2" s="1"/>
  <c r="W367" i="2"/>
  <c r="Y367" i="2"/>
  <c r="Y452" i="2"/>
  <c r="U410" i="2"/>
  <c r="V410" i="2"/>
  <c r="Y410" i="2" s="1"/>
  <c r="U256" i="2"/>
  <c r="V256" i="2"/>
  <c r="Y256" i="2" s="1"/>
  <c r="U241" i="2"/>
  <c r="V241" i="2"/>
  <c r="Y241" i="2" s="1"/>
  <c r="U60" i="2"/>
  <c r="V60" i="2"/>
  <c r="Y60" i="2" s="1"/>
  <c r="U110" i="2"/>
  <c r="V110" i="2"/>
  <c r="Y110" i="2" s="1"/>
  <c r="Y114" i="2"/>
  <c r="U196" i="2"/>
  <c r="V196" i="2"/>
  <c r="Y196" i="2" s="1"/>
  <c r="U126" i="2"/>
  <c r="X126" i="2" s="1"/>
  <c r="V126" i="2"/>
  <c r="Y126" i="2" s="1"/>
  <c r="U90" i="2"/>
  <c r="X90" i="2" s="1"/>
  <c r="V90" i="2"/>
  <c r="Y90" i="2" s="1"/>
  <c r="X82" i="2"/>
  <c r="Y82" i="2"/>
  <c r="W282" i="2"/>
  <c r="Y282" i="2"/>
  <c r="U127" i="2"/>
  <c r="X127" i="2" s="1"/>
  <c r="V127" i="2"/>
  <c r="Y127" i="2" s="1"/>
  <c r="U273" i="2"/>
  <c r="X273" i="2" s="1"/>
  <c r="V273" i="2"/>
  <c r="Y273" i="2" s="1"/>
  <c r="U100" i="2"/>
  <c r="X100" i="2" s="1"/>
  <c r="V100" i="2"/>
  <c r="Y100" i="2" s="1"/>
  <c r="X401" i="2"/>
  <c r="Y401" i="2"/>
  <c r="W443" i="2"/>
  <c r="Y443" i="2"/>
  <c r="U105" i="2"/>
  <c r="X105" i="2" s="1"/>
  <c r="V105" i="2"/>
  <c r="Y105" i="2" s="1"/>
  <c r="U509" i="2"/>
  <c r="V509" i="2"/>
  <c r="Y509" i="2" s="1"/>
  <c r="U507" i="2"/>
  <c r="V507" i="2"/>
  <c r="Y507" i="2" s="1"/>
  <c r="Y344" i="2"/>
  <c r="U300" i="2"/>
  <c r="V300" i="2"/>
  <c r="Y300" i="2" s="1"/>
  <c r="Y165" i="2"/>
  <c r="U510" i="2"/>
  <c r="V510" i="2"/>
  <c r="Y510" i="2" s="1"/>
  <c r="Y457" i="2"/>
  <c r="Y397" i="2"/>
  <c r="U412" i="2"/>
  <c r="V412" i="2"/>
  <c r="Y412" i="2" s="1"/>
  <c r="U506" i="2"/>
  <c r="V506" i="2"/>
  <c r="Y506" i="2" s="1"/>
  <c r="U384" i="2"/>
  <c r="V384" i="2"/>
  <c r="Y384" i="2" s="1"/>
  <c r="Y326" i="2"/>
  <c r="U250" i="2"/>
  <c r="V250" i="2"/>
  <c r="Y250" i="2" s="1"/>
  <c r="Y291" i="2"/>
  <c r="U177" i="2"/>
  <c r="V177" i="2"/>
  <c r="Y177" i="2" s="1"/>
  <c r="Y142" i="2"/>
  <c r="Y129" i="2"/>
  <c r="U175" i="2"/>
  <c r="V175" i="2"/>
  <c r="Y175" i="2" s="1"/>
  <c r="U181" i="2"/>
  <c r="V181" i="2"/>
  <c r="Y181" i="2" s="1"/>
  <c r="Y77" i="2"/>
  <c r="U170" i="2"/>
  <c r="X170" i="2" s="1"/>
  <c r="V170" i="2"/>
  <c r="Y170" i="2" s="1"/>
  <c r="U78" i="2"/>
  <c r="X78" i="2" s="1"/>
  <c r="V78" i="2"/>
  <c r="Y78" i="2" s="1"/>
  <c r="W394" i="2"/>
  <c r="Y394" i="2"/>
  <c r="U254" i="2"/>
  <c r="V254" i="2"/>
  <c r="U416" i="2"/>
  <c r="V416" i="2"/>
  <c r="Y416" i="2" s="1"/>
  <c r="X179" i="2"/>
  <c r="Y179" i="2"/>
  <c r="X31" i="2"/>
  <c r="Y31" i="2"/>
  <c r="U144" i="2"/>
  <c r="X144" i="2" s="1"/>
  <c r="V144" i="2"/>
  <c r="Y144" i="2" s="1"/>
  <c r="U158" i="2"/>
  <c r="X158" i="2" s="1"/>
  <c r="V158" i="2"/>
  <c r="Y158" i="2" s="1"/>
  <c r="X419" i="2"/>
  <c r="Y419" i="2"/>
  <c r="U376" i="2"/>
  <c r="V376" i="2"/>
  <c r="Y376" i="2" s="1"/>
  <c r="U287" i="2"/>
  <c r="X287" i="2" s="1"/>
  <c r="V287" i="2"/>
  <c r="Y287" i="2" s="1"/>
  <c r="X362" i="2"/>
  <c r="Y362" i="2"/>
  <c r="X271" i="2"/>
  <c r="Y271" i="2"/>
  <c r="U265" i="2"/>
  <c r="X265" i="2" s="1"/>
  <c r="V265" i="2"/>
  <c r="Y265" i="2" s="1"/>
  <c r="U240" i="2"/>
  <c r="X240" i="2" s="1"/>
  <c r="V240" i="2"/>
  <c r="Y240" i="2" s="1"/>
  <c r="U486" i="2"/>
  <c r="X486" i="2" s="1"/>
  <c r="V486" i="2"/>
  <c r="Y486" i="2" s="1"/>
  <c r="X331" i="2"/>
  <c r="Y331" i="2"/>
  <c r="X520" i="2"/>
  <c r="Y520" i="2"/>
  <c r="U40" i="2"/>
  <c r="X40" i="2" s="1"/>
  <c r="V40" i="2"/>
  <c r="Y40" i="2" s="1"/>
  <c r="X226" i="2"/>
  <c r="Y226" i="2"/>
  <c r="U34" i="2"/>
  <c r="X34" i="2" s="1"/>
  <c r="V34" i="2"/>
  <c r="Y34" i="2" s="1"/>
  <c r="U413" i="2"/>
  <c r="X413" i="2" s="1"/>
  <c r="V413" i="2"/>
  <c r="Y413" i="2" s="1"/>
  <c r="Y124" i="2"/>
  <c r="U297" i="2"/>
  <c r="V297" i="2"/>
  <c r="Y297" i="2" s="1"/>
  <c r="U512" i="2"/>
  <c r="V512" i="2"/>
  <c r="Y512" i="2" s="1"/>
  <c r="U487" i="2"/>
  <c r="V487" i="2"/>
  <c r="Y487" i="2" s="1"/>
  <c r="U312" i="2"/>
  <c r="V312" i="2"/>
  <c r="Y312" i="2" s="1"/>
  <c r="U218" i="2"/>
  <c r="V218" i="2"/>
  <c r="Y218" i="2" s="1"/>
  <c r="U281" i="2"/>
  <c r="V281" i="2"/>
  <c r="Y281" i="2" s="1"/>
  <c r="Y156" i="2"/>
  <c r="U63" i="2"/>
  <c r="V63" i="2"/>
  <c r="Y63" i="2" s="1"/>
  <c r="U57" i="2"/>
  <c r="V57" i="2"/>
  <c r="Y57" i="2" s="1"/>
  <c r="U54" i="2"/>
  <c r="V54" i="2"/>
  <c r="Y54" i="2" s="1"/>
  <c r="U101" i="2"/>
  <c r="V101" i="2"/>
  <c r="Y101" i="2" s="1"/>
  <c r="U83" i="2"/>
  <c r="X83" i="2" s="1"/>
  <c r="V83" i="2"/>
  <c r="Y83" i="2" s="1"/>
  <c r="X53" i="2"/>
  <c r="Y53" i="2"/>
  <c r="Y391" i="2"/>
  <c r="U72" i="2"/>
  <c r="V72" i="2"/>
  <c r="X159" i="2"/>
  <c r="Y159" i="2"/>
  <c r="U340" i="2"/>
  <c r="X340" i="2" s="1"/>
  <c r="V340" i="2"/>
  <c r="Y340" i="2" s="1"/>
  <c r="X102" i="2"/>
  <c r="Y102" i="2"/>
  <c r="U315" i="2"/>
  <c r="X315" i="2" s="1"/>
  <c r="V315" i="2"/>
  <c r="Y315" i="2" s="1"/>
  <c r="U324" i="2"/>
  <c r="V324" i="2"/>
  <c r="Y324" i="2" s="1"/>
  <c r="U268" i="2"/>
  <c r="V268" i="2"/>
  <c r="U140" i="2"/>
  <c r="V140" i="2"/>
  <c r="Y140" i="2" s="1"/>
  <c r="U279" i="2"/>
  <c r="X279" i="2" s="1"/>
  <c r="V279" i="2"/>
  <c r="Y279" i="2" s="1"/>
  <c r="U139" i="2"/>
  <c r="X139" i="2" s="1"/>
  <c r="V139" i="2"/>
  <c r="Y139" i="2" s="1"/>
  <c r="X517" i="2"/>
  <c r="Y517" i="2"/>
  <c r="W438" i="2"/>
  <c r="Y438" i="2"/>
  <c r="W161" i="2"/>
  <c r="V161" i="2"/>
  <c r="Y161" i="2" s="1"/>
  <c r="X432" i="2"/>
  <c r="Y432" i="2"/>
  <c r="U323" i="2"/>
  <c r="X323" i="2" s="1"/>
  <c r="V323" i="2"/>
  <c r="Y323" i="2" s="1"/>
  <c r="U455" i="2"/>
  <c r="X455" i="2" s="1"/>
  <c r="V455" i="2"/>
  <c r="Y455" i="2" s="1"/>
  <c r="U515" i="2"/>
  <c r="X515" i="2" s="1"/>
  <c r="V515" i="2"/>
  <c r="Y515" i="2" s="1"/>
  <c r="X28" i="2"/>
  <c r="Y28" i="2"/>
  <c r="W490" i="2"/>
  <c r="Y490" i="2"/>
  <c r="X420" i="2"/>
  <c r="Y420" i="2"/>
  <c r="E7" i="2"/>
  <c r="X236" i="2"/>
  <c r="Y236" i="2"/>
  <c r="U484" i="2"/>
  <c r="V484" i="2"/>
  <c r="Y484" i="2" s="1"/>
  <c r="U437" i="2"/>
  <c r="V437" i="2"/>
  <c r="Y437" i="2" s="1"/>
  <c r="U488" i="2"/>
  <c r="V488" i="2"/>
  <c r="Y488" i="2" s="1"/>
  <c r="U459" i="2"/>
  <c r="V459" i="2"/>
  <c r="Y459" i="2" s="1"/>
  <c r="U334" i="2"/>
  <c r="V334" i="2"/>
  <c r="Y334" i="2" s="1"/>
  <c r="Y358" i="2"/>
  <c r="U278" i="2"/>
  <c r="V278" i="2"/>
  <c r="Y278" i="2" s="1"/>
  <c r="U372" i="2"/>
  <c r="V372" i="2"/>
  <c r="Y372" i="2" s="1"/>
  <c r="Y94" i="2"/>
  <c r="U48" i="2"/>
  <c r="V48" i="2"/>
  <c r="Y48" i="2" s="1"/>
  <c r="Y64" i="2"/>
  <c r="W73" i="2"/>
  <c r="Y73" i="2"/>
  <c r="U47" i="2"/>
  <c r="X47" i="2" s="1"/>
  <c r="V47" i="2"/>
  <c r="Y47" i="2" s="1"/>
  <c r="W342" i="2"/>
  <c r="Y342" i="2"/>
  <c r="U207" i="2"/>
  <c r="V207" i="2"/>
  <c r="U335" i="2"/>
  <c r="X335" i="2" s="1"/>
  <c r="V335" i="2"/>
  <c r="Y335" i="2" s="1"/>
  <c r="Y389" i="2"/>
  <c r="V516" i="2"/>
  <c r="Y516" i="2" s="1"/>
  <c r="W292" i="2"/>
  <c r="V292" i="2"/>
  <c r="Y292" i="2" s="1"/>
  <c r="U211" i="2"/>
  <c r="V211" i="2"/>
  <c r="Y211" i="2" s="1"/>
  <c r="X37" i="2"/>
  <c r="Y37" i="2"/>
  <c r="U262" i="2"/>
  <c r="X262" i="2" s="1"/>
  <c r="V262" i="2"/>
  <c r="Y262" i="2" s="1"/>
  <c r="U80" i="2"/>
  <c r="V80" i="2"/>
  <c r="Y80" i="2" s="1"/>
  <c r="U288" i="2"/>
  <c r="V288" i="2"/>
  <c r="Y288" i="2" s="1"/>
  <c r="U121" i="2"/>
  <c r="X121" i="2" s="1"/>
  <c r="V121" i="2"/>
  <c r="Y121" i="2" s="1"/>
  <c r="U87" i="2"/>
  <c r="X87" i="2" s="1"/>
  <c r="V87" i="2"/>
  <c r="Y87" i="2" s="1"/>
  <c r="X132" i="2"/>
  <c r="Y132" i="2"/>
  <c r="X492" i="2"/>
  <c r="Y492" i="2"/>
  <c r="X192" i="2"/>
  <c r="Y192" i="2"/>
  <c r="U93" i="2"/>
  <c r="X93" i="2" s="1"/>
  <c r="V93" i="2"/>
  <c r="Y93" i="2" s="1"/>
  <c r="U395" i="2"/>
  <c r="X395" i="2" s="1"/>
  <c r="V395" i="2"/>
  <c r="Y395" i="2" s="1"/>
  <c r="U316" i="2"/>
  <c r="X316" i="2" s="1"/>
  <c r="V316" i="2"/>
  <c r="Y316" i="2" s="1"/>
  <c r="W424" i="2"/>
  <c r="Y424" i="2"/>
  <c r="U505" i="2"/>
  <c r="X505" i="2" s="1"/>
  <c r="V505" i="2"/>
  <c r="Y505" i="2" s="1"/>
  <c r="W152" i="2"/>
  <c r="V152" i="2"/>
  <c r="Y152" i="2" s="1"/>
  <c r="U75" i="2"/>
  <c r="X75" i="2" s="1"/>
  <c r="V75" i="2"/>
  <c r="Y75" i="2" s="1"/>
  <c r="W226" i="2"/>
  <c r="W339" i="2"/>
  <c r="U239" i="2"/>
  <c r="X239" i="2" s="1"/>
  <c r="X468" i="2"/>
  <c r="W306" i="2"/>
  <c r="W34" i="2"/>
  <c r="W323" i="2"/>
  <c r="W413" i="2"/>
  <c r="W24" i="2"/>
  <c r="W515" i="2"/>
  <c r="W343" i="2"/>
  <c r="X438" i="2"/>
  <c r="W432" i="2"/>
  <c r="W520" i="2"/>
  <c r="W105" i="2"/>
  <c r="W40" i="2"/>
  <c r="W479" i="2"/>
  <c r="W395" i="2"/>
  <c r="W62" i="2"/>
  <c r="W448" i="2"/>
  <c r="W369" i="2"/>
  <c r="U495" i="2"/>
  <c r="X495" i="2" s="1"/>
  <c r="W265" i="2"/>
  <c r="W497" i="2"/>
  <c r="X424" i="2"/>
  <c r="W93" i="2"/>
  <c r="W108" i="2"/>
  <c r="X471" i="2"/>
  <c r="W492" i="2"/>
  <c r="W483" i="2"/>
  <c r="X456" i="2"/>
  <c r="W192" i="2"/>
  <c r="W501" i="2"/>
  <c r="W475" i="2"/>
  <c r="W313" i="2"/>
  <c r="W467" i="2"/>
  <c r="W132" i="2"/>
  <c r="W76" i="2"/>
  <c r="W214" i="2"/>
  <c r="W296" i="2"/>
  <c r="W240" i="2"/>
  <c r="W87" i="2"/>
  <c r="W316" i="2"/>
  <c r="W451" i="2"/>
  <c r="W307" i="2"/>
  <c r="W294" i="2"/>
  <c r="W50" i="2"/>
  <c r="W416" i="2"/>
  <c r="W137" i="2"/>
  <c r="W297" i="2"/>
  <c r="W52" i="2"/>
  <c r="W245" i="2"/>
  <c r="W209" i="2"/>
  <c r="W461" i="2"/>
  <c r="X150" i="2"/>
  <c r="W28" i="2"/>
  <c r="X134" i="2"/>
  <c r="W118" i="2"/>
  <c r="W380" i="2"/>
  <c r="W364" i="2"/>
  <c r="W505" i="2"/>
  <c r="W85" i="2"/>
  <c r="X490" i="2"/>
  <c r="W477" i="2"/>
  <c r="W458" i="2"/>
  <c r="W466" i="2"/>
  <c r="W295" i="2"/>
  <c r="W99" i="2"/>
  <c r="W49" i="2"/>
  <c r="W229" i="2"/>
  <c r="W508" i="2"/>
  <c r="U417" i="2"/>
  <c r="X417" i="2" s="1"/>
  <c r="W405" i="2"/>
  <c r="W472" i="2"/>
  <c r="W243" i="2"/>
  <c r="W126" i="2"/>
  <c r="X443" i="2"/>
  <c r="X116" i="2"/>
  <c r="X367" i="2"/>
  <c r="W139" i="2"/>
  <c r="W186" i="2"/>
  <c r="W518" i="2"/>
  <c r="W455" i="2"/>
  <c r="U299" i="2"/>
  <c r="X299" i="2" s="1"/>
  <c r="U161" i="2"/>
  <c r="X161" i="2" s="1"/>
  <c r="W75" i="2"/>
  <c r="X33" i="2"/>
  <c r="U25" i="2"/>
  <c r="X25" i="2" s="1"/>
  <c r="W287" i="2"/>
  <c r="U152" i="2"/>
  <c r="X152" i="2" s="1"/>
  <c r="W327" i="2"/>
  <c r="W163" i="2"/>
  <c r="W279" i="2"/>
  <c r="W423" i="2"/>
  <c r="X282" i="2"/>
  <c r="W517" i="2"/>
  <c r="W493" i="2"/>
  <c r="W473" i="2"/>
  <c r="W304" i="2"/>
  <c r="X188" i="2"/>
  <c r="W332" i="2"/>
  <c r="W159" i="2"/>
  <c r="W166" i="2"/>
  <c r="W355" i="2"/>
  <c r="W516" i="2"/>
  <c r="W80" i="2"/>
  <c r="W153" i="2"/>
  <c r="W496" i="2"/>
  <c r="W360" i="2"/>
  <c r="X212" i="2"/>
  <c r="W187" i="2"/>
  <c r="W53" i="2"/>
  <c r="W82" i="2"/>
  <c r="W365" i="2"/>
  <c r="W408" i="2"/>
  <c r="W502" i="2"/>
  <c r="W255" i="2"/>
  <c r="W232" i="2"/>
  <c r="W519" i="2"/>
  <c r="W90" i="2"/>
  <c r="W383" i="2"/>
  <c r="W96" i="2"/>
  <c r="U205" i="2"/>
  <c r="X205" i="2" s="1"/>
  <c r="W340" i="2"/>
  <c r="W277" i="2"/>
  <c r="W317" i="2"/>
  <c r="X322" i="2"/>
  <c r="X162" i="2"/>
  <c r="X197" i="2"/>
  <c r="W185" i="2"/>
  <c r="W56" i="2"/>
  <c r="W400" i="2"/>
  <c r="W363" i="2"/>
  <c r="W302" i="2"/>
  <c r="W228" i="2"/>
  <c r="W201" i="2"/>
  <c r="W237" i="2"/>
  <c r="X88" i="2"/>
  <c r="W227" i="2"/>
  <c r="W111" i="2"/>
  <c r="W514" i="2"/>
  <c r="X357" i="2"/>
  <c r="U202" i="2"/>
  <c r="X202" i="2" s="1"/>
  <c r="X125" i="2"/>
  <c r="W236" i="2"/>
  <c r="W121" i="2"/>
  <c r="W127" i="2"/>
  <c r="W411" i="2"/>
  <c r="W206" i="2"/>
  <c r="W442" i="2"/>
  <c r="W337" i="2"/>
  <c r="W136" i="2"/>
  <c r="X446" i="2"/>
  <c r="W319" i="2"/>
  <c r="W401" i="2"/>
  <c r="W349" i="2"/>
  <c r="W338" i="2"/>
  <c r="W135" i="2"/>
  <c r="W130" i="2"/>
  <c r="W331" i="2"/>
  <c r="X385" i="2"/>
  <c r="X73" i="2"/>
  <c r="W157" i="2"/>
  <c r="AA24" i="8"/>
  <c r="AA22" i="8"/>
  <c r="AA29" i="8"/>
  <c r="AA28" i="8"/>
  <c r="U146" i="2"/>
  <c r="X146" i="2" s="1"/>
  <c r="X407" i="2"/>
  <c r="W31" i="2"/>
  <c r="W172" i="2"/>
  <c r="W324" i="2"/>
  <c r="W100" i="2"/>
  <c r="W478" i="2"/>
  <c r="W418" i="2"/>
  <c r="U368" i="2"/>
  <c r="X368" i="2" s="1"/>
  <c r="W335" i="2"/>
  <c r="W217" i="2"/>
  <c r="W249" i="2"/>
  <c r="W65" i="2"/>
  <c r="W195" i="2"/>
  <c r="W78" i="2"/>
  <c r="W435" i="2"/>
  <c r="X251" i="2"/>
  <c r="W351" i="2"/>
  <c r="W176" i="2"/>
  <c r="X350" i="2"/>
  <c r="W273" i="2"/>
  <c r="W144" i="2"/>
  <c r="W164" i="2"/>
  <c r="W346" i="2"/>
  <c r="W246" i="2"/>
  <c r="W155" i="2"/>
  <c r="W392" i="2"/>
  <c r="X449" i="2"/>
  <c r="U133" i="2"/>
  <c r="X133" i="2" s="1"/>
  <c r="W314" i="2"/>
  <c r="U383" i="2"/>
  <c r="U308" i="2"/>
  <c r="X308" i="2" s="1"/>
  <c r="U292" i="2"/>
  <c r="X292" i="2" s="1"/>
  <c r="W182" i="2"/>
  <c r="W22" i="2"/>
  <c r="W115" i="2"/>
  <c r="W112" i="2"/>
  <c r="W362" i="2"/>
  <c r="W330" i="2"/>
  <c r="U470" i="2"/>
  <c r="X470" i="2" s="1"/>
  <c r="X79" i="2"/>
  <c r="W348" i="2"/>
  <c r="W204" i="2"/>
  <c r="W180" i="2"/>
  <c r="W376" i="2"/>
  <c r="W271" i="2"/>
  <c r="W445" i="2"/>
  <c r="U445" i="2"/>
  <c r="X445" i="2" s="1"/>
  <c r="W71" i="2"/>
  <c r="W491" i="2"/>
  <c r="W422" i="2"/>
  <c r="W352" i="2"/>
  <c r="W377" i="2"/>
  <c r="W72" i="2"/>
  <c r="X394" i="2"/>
  <c r="X504" i="2"/>
  <c r="W453" i="2"/>
  <c r="W374" i="2"/>
  <c r="W183" i="2"/>
  <c r="W486" i="2"/>
  <c r="W398" i="2"/>
  <c r="W406" i="2"/>
  <c r="X388" i="2"/>
  <c r="W336" i="2"/>
  <c r="W433" i="2"/>
  <c r="W189" i="2"/>
  <c r="W148" i="2"/>
  <c r="W42" i="2"/>
  <c r="W167" i="2"/>
  <c r="W436" i="2"/>
  <c r="AH26" i="5"/>
  <c r="AE29" i="7"/>
  <c r="AE23" i="7"/>
  <c r="AG25" i="5"/>
  <c r="AE26" i="7"/>
  <c r="AE25" i="7"/>
  <c r="AE21" i="7"/>
  <c r="AE22" i="7"/>
  <c r="AG31" i="5"/>
  <c r="X353" i="2"/>
  <c r="W353" i="2"/>
  <c r="U321" i="2"/>
  <c r="X321" i="2" s="1"/>
  <c r="W321" i="2"/>
  <c r="W301" i="2"/>
  <c r="X301" i="2"/>
  <c r="X320" i="2"/>
  <c r="W81" i="2"/>
  <c r="W69" i="2"/>
  <c r="W211" i="2"/>
  <c r="W288" i="2"/>
  <c r="X347" i="2"/>
  <c r="W347" i="2"/>
  <c r="X342" i="2"/>
  <c r="W268" i="2"/>
  <c r="W382" i="2"/>
  <c r="W259" i="2"/>
  <c r="W262" i="2"/>
  <c r="W47" i="2"/>
  <c r="W203" i="2"/>
  <c r="X260" i="2"/>
  <c r="W102" i="2"/>
  <c r="W234" i="2"/>
  <c r="W494" i="2"/>
  <c r="W421" i="2"/>
  <c r="X58" i="2"/>
  <c r="X106" i="2"/>
  <c r="W106" i="2"/>
  <c r="W419" i="2"/>
  <c r="W464" i="2"/>
  <c r="W318" i="2"/>
  <c r="U426" i="2"/>
  <c r="X426" i="2" s="1"/>
  <c r="W207" i="2"/>
  <c r="U149" i="2"/>
  <c r="X149" i="2" s="1"/>
  <c r="U430" i="2"/>
  <c r="X430" i="2" s="1"/>
  <c r="W430" i="2"/>
  <c r="X439" i="2"/>
  <c r="W439" i="2"/>
  <c r="X168" i="2"/>
  <c r="W168" i="2"/>
  <c r="W140" i="2"/>
  <c r="W238" i="2"/>
  <c r="W429" i="2"/>
  <c r="W469" i="2"/>
  <c r="W158" i="2"/>
  <c r="W283" i="2"/>
  <c r="W124" i="2"/>
  <c r="U124" i="2"/>
  <c r="X124" i="2" s="1"/>
  <c r="W511" i="2"/>
  <c r="X311" i="2"/>
  <c r="X230" i="2"/>
  <c r="W230" i="2"/>
  <c r="W500" i="2"/>
  <c r="W254" i="2"/>
  <c r="W293" i="2"/>
  <c r="X247" i="2"/>
  <c r="W247" i="2"/>
  <c r="W37" i="2"/>
  <c r="W389" i="2"/>
  <c r="X389" i="2"/>
  <c r="W284" i="2"/>
  <c r="U293" i="2"/>
  <c r="W170" i="2"/>
  <c r="W84" i="2"/>
  <c r="U84" i="2"/>
  <c r="X84" i="2" s="1"/>
  <c r="W315" i="2"/>
  <c r="W23" i="2"/>
  <c r="W454" i="2"/>
  <c r="X399" i="2"/>
  <c r="X503" i="2"/>
  <c r="X233" i="2"/>
  <c r="W220" i="2"/>
  <c r="U65" i="2"/>
  <c r="X103" i="2"/>
  <c r="W103" i="2"/>
  <c r="X258" i="2"/>
  <c r="W258" i="2"/>
  <c r="W97" i="2"/>
  <c r="W480" i="2"/>
  <c r="U371" i="2"/>
  <c r="X371" i="2" s="1"/>
  <c r="U349" i="2"/>
  <c r="W198" i="2"/>
  <c r="W305" i="2"/>
  <c r="W179" i="2"/>
  <c r="W151" i="2"/>
  <c r="W290" i="2"/>
  <c r="U290" i="2"/>
  <c r="W386" i="2"/>
  <c r="W208" i="2"/>
  <c r="W414" i="2"/>
  <c r="W489" i="2"/>
  <c r="X391" i="2"/>
  <c r="W391" i="2"/>
  <c r="W74" i="2"/>
  <c r="AE27" i="7"/>
  <c r="AE28" i="7"/>
  <c r="AE24" i="7"/>
  <c r="T24" i="5"/>
  <c r="AK24" i="5" s="1"/>
  <c r="W402" i="2"/>
  <c r="W457" i="2"/>
  <c r="X457" i="2"/>
  <c r="W450" i="2"/>
  <c r="W488" i="2"/>
  <c r="W427" i="2"/>
  <c r="W375" i="2"/>
  <c r="X375" i="2"/>
  <c r="W361" i="2"/>
  <c r="X361" i="2"/>
  <c r="W256" i="2"/>
  <c r="W310" i="2"/>
  <c r="X310" i="2"/>
  <c r="W333" i="2"/>
  <c r="X333" i="2"/>
  <c r="W378" i="2"/>
  <c r="X378" i="2"/>
  <c r="W312" i="2"/>
  <c r="W261" i="2"/>
  <c r="X44" i="2"/>
  <c r="W44" i="2"/>
  <c r="W147" i="2"/>
  <c r="X147" i="2"/>
  <c r="W117" i="2"/>
  <c r="X117" i="2"/>
  <c r="W181" i="2"/>
  <c r="U498" i="2"/>
  <c r="X498" i="2" s="1"/>
  <c r="W498" i="2"/>
  <c r="W510" i="2"/>
  <c r="W459" i="2"/>
  <c r="W344" i="2"/>
  <c r="X344" i="2"/>
  <c r="W366" i="2"/>
  <c r="X366" i="2"/>
  <c r="W267" i="2"/>
  <c r="X267" i="2"/>
  <c r="W372" i="2"/>
  <c r="W193" i="2"/>
  <c r="W281" i="2"/>
  <c r="W91" i="2"/>
  <c r="X91" i="2"/>
  <c r="W113" i="2"/>
  <c r="X113" i="2"/>
  <c r="W30" i="2"/>
  <c r="X30" i="2"/>
  <c r="W57" i="2"/>
  <c r="W39" i="2"/>
  <c r="X39" i="2"/>
  <c r="W95" i="2"/>
  <c r="X95" i="2"/>
  <c r="W120" i="2"/>
  <c r="X120" i="2"/>
  <c r="W83" i="2"/>
  <c r="U476" i="2"/>
  <c r="X476" i="2" s="1"/>
  <c r="W476" i="2"/>
  <c r="W393" i="2"/>
  <c r="W437" i="2"/>
  <c r="W434" i="2"/>
  <c r="W482" i="2"/>
  <c r="W487" i="2"/>
  <c r="W512" i="2"/>
  <c r="W444" i="2"/>
  <c r="W384" i="2"/>
  <c r="X358" i="2"/>
  <c r="W358" i="2"/>
  <c r="W381" i="2"/>
  <c r="W326" i="2"/>
  <c r="X326" i="2"/>
  <c r="W325" i="2"/>
  <c r="X325" i="2"/>
  <c r="W131" i="2"/>
  <c r="X131" i="2"/>
  <c r="W184" i="2"/>
  <c r="W275" i="2"/>
  <c r="W194" i="2"/>
  <c r="X194" i="2"/>
  <c r="W55" i="2"/>
  <c r="X55" i="2"/>
  <c r="W173" i="2"/>
  <c r="W41" i="2"/>
  <c r="W32" i="2"/>
  <c r="W29" i="2"/>
  <c r="W114" i="2"/>
  <c r="X114" i="2"/>
  <c r="W86" i="2"/>
  <c r="X86" i="2"/>
  <c r="W154" i="2"/>
  <c r="W463" i="2"/>
  <c r="W169" i="2"/>
  <c r="X169" i="2"/>
  <c r="W270" i="2"/>
  <c r="W484" i="2"/>
  <c r="X345" i="2"/>
  <c r="W345" i="2"/>
  <c r="W303" i="2"/>
  <c r="X303" i="2"/>
  <c r="W250" i="2"/>
  <c r="X252" i="2"/>
  <c r="W252" i="2"/>
  <c r="W298" i="2"/>
  <c r="X298" i="2"/>
  <c r="W289" i="2"/>
  <c r="X289" i="2"/>
  <c r="W241" i="2"/>
  <c r="W174" i="2"/>
  <c r="W257" i="2"/>
  <c r="X257" i="2"/>
  <c r="W171" i="2"/>
  <c r="W219" i="2"/>
  <c r="X219" i="2"/>
  <c r="W110" i="2"/>
  <c r="W101" i="2"/>
  <c r="W107" i="2"/>
  <c r="X499" i="2"/>
  <c r="W499" i="2"/>
  <c r="W428" i="2"/>
  <c r="X428" i="2"/>
  <c r="W425" i="2"/>
  <c r="X425" i="2"/>
  <c r="W460" i="2"/>
  <c r="X460" i="2"/>
  <c r="W481" i="2"/>
  <c r="W506" i="2"/>
  <c r="W341" i="2"/>
  <c r="X341" i="2"/>
  <c r="W373" i="2"/>
  <c r="X373" i="2"/>
  <c r="W235" i="2"/>
  <c r="X235" i="2"/>
  <c r="W300" i="2"/>
  <c r="W359" i="2"/>
  <c r="W221" i="2"/>
  <c r="W285" i="2"/>
  <c r="X285" i="2"/>
  <c r="W264" i="2"/>
  <c r="W210" i="2"/>
  <c r="X210" i="2"/>
  <c r="W38" i="2"/>
  <c r="W431" i="2"/>
  <c r="X431" i="2"/>
  <c r="W509" i="2"/>
  <c r="W397" i="2"/>
  <c r="X397" i="2"/>
  <c r="W447" i="2"/>
  <c r="X447" i="2"/>
  <c r="W404" i="2"/>
  <c r="X269" i="2"/>
  <c r="W269" i="2"/>
  <c r="W286" i="2"/>
  <c r="X286" i="2"/>
  <c r="W138" i="2"/>
  <c r="X138" i="2"/>
  <c r="W253" i="2"/>
  <c r="W199" i="2"/>
  <c r="W123" i="2"/>
  <c r="W48" i="2"/>
  <c r="W64" i="2"/>
  <c r="X64" i="2"/>
  <c r="W141" i="2"/>
  <c r="X141" i="2"/>
  <c r="W309" i="2"/>
  <c r="X291" i="2"/>
  <c r="W291" i="2"/>
  <c r="W216" i="2"/>
  <c r="X216" i="2"/>
  <c r="W218" i="2"/>
  <c r="W223" i="2"/>
  <c r="X165" i="2"/>
  <c r="W165" i="2"/>
  <c r="W242" i="2"/>
  <c r="W36" i="2"/>
  <c r="X36" i="2"/>
  <c r="W45" i="2"/>
  <c r="W77" i="2"/>
  <c r="X77" i="2"/>
  <c r="W190" i="2"/>
  <c r="X190" i="2"/>
  <c r="W462" i="2"/>
  <c r="W412" i="2"/>
  <c r="W403" i="2"/>
  <c r="X403" i="2"/>
  <c r="W334" i="2"/>
  <c r="W409" i="2"/>
  <c r="W379" i="2"/>
  <c r="X379" i="2"/>
  <c r="W263" i="2"/>
  <c r="X263" i="2"/>
  <c r="W278" i="2"/>
  <c r="X142" i="2"/>
  <c r="W142" i="2"/>
  <c r="W129" i="2"/>
  <c r="X129" i="2"/>
  <c r="W222" i="2"/>
  <c r="X222" i="2"/>
  <c r="X266" i="2"/>
  <c r="W266" i="2"/>
  <c r="W160" i="2"/>
  <c r="X160" i="2"/>
  <c r="W175" i="2"/>
  <c r="W63" i="2"/>
  <c r="W104" i="2"/>
  <c r="W70" i="2"/>
  <c r="W98" i="2"/>
  <c r="W67" i="2"/>
  <c r="X452" i="2"/>
  <c r="W452" i="2"/>
  <c r="W507" i="2"/>
  <c r="W410" i="2"/>
  <c r="W231" i="2"/>
  <c r="W60" i="2"/>
  <c r="W46" i="2"/>
  <c r="X46" i="2"/>
  <c r="W54" i="2"/>
  <c r="X474" i="2"/>
  <c r="W474" i="2"/>
  <c r="W415" i="2"/>
  <c r="W390" i="2"/>
  <c r="X390" i="2"/>
  <c r="W354" i="2"/>
  <c r="X354" i="2"/>
  <c r="W387" i="2"/>
  <c r="W248" i="2"/>
  <c r="X248" i="2"/>
  <c r="W280" i="2"/>
  <c r="X280" i="2"/>
  <c r="W119" i="2"/>
  <c r="X119" i="2"/>
  <c r="W215" i="2"/>
  <c r="X215" i="2"/>
  <c r="W225" i="2"/>
  <c r="X225" i="2"/>
  <c r="W156" i="2"/>
  <c r="X156" i="2"/>
  <c r="W145" i="2"/>
  <c r="X145" i="2"/>
  <c r="W224" i="2"/>
  <c r="W43" i="2"/>
  <c r="X66" i="2"/>
  <c r="W66" i="2"/>
  <c r="W485" i="2"/>
  <c r="W513" i="2"/>
  <c r="W465" i="2"/>
  <c r="X356" i="2"/>
  <c r="W356" i="2"/>
  <c r="W441" i="2"/>
  <c r="X441" i="2"/>
  <c r="W370" i="2"/>
  <c r="X370" i="2"/>
  <c r="X244" i="2"/>
  <c r="W244" i="2"/>
  <c r="W276" i="2"/>
  <c r="X276" i="2"/>
  <c r="W274" i="2"/>
  <c r="X274" i="2"/>
  <c r="W191" i="2"/>
  <c r="X191" i="2"/>
  <c r="W200" i="2"/>
  <c r="X200" i="2"/>
  <c r="X122" i="2"/>
  <c r="W122" i="2"/>
  <c r="W143" i="2"/>
  <c r="W68" i="2"/>
  <c r="W26" i="2"/>
  <c r="W92" i="2"/>
  <c r="X92" i="2"/>
  <c r="W196" i="2"/>
  <c r="W61" i="2"/>
  <c r="X61" i="2"/>
  <c r="W440" i="2"/>
  <c r="W328" i="2"/>
  <c r="X328" i="2"/>
  <c r="X329" i="2"/>
  <c r="W329" i="2"/>
  <c r="X272" i="2"/>
  <c r="W272" i="2"/>
  <c r="W177" i="2"/>
  <c r="W213" i="2"/>
  <c r="X213" i="2"/>
  <c r="X94" i="2"/>
  <c r="W94" i="2"/>
  <c r="W178" i="2"/>
  <c r="W128" i="2"/>
  <c r="W35" i="2"/>
  <c r="W51" i="2"/>
  <c r="W27" i="2"/>
  <c r="X27" i="2"/>
  <c r="W89" i="2"/>
  <c r="X89" i="2"/>
  <c r="AG24" i="5"/>
  <c r="AI22" i="5" l="1"/>
  <c r="AK28" i="5"/>
  <c r="Z17" i="6"/>
  <c r="AB30" i="8"/>
  <c r="X17" i="6"/>
  <c r="H6" i="6" s="1"/>
  <c r="AA18" i="6"/>
  <c r="M17" i="6"/>
  <c r="G6" i="6" s="1"/>
  <c r="AI28" i="5"/>
  <c r="E5" i="8"/>
  <c r="J21" i="1"/>
  <c r="AB29" i="8"/>
  <c r="E5" i="7"/>
  <c r="I21" i="1"/>
  <c r="AG30" i="5"/>
  <c r="AJ30" i="5" s="1"/>
  <c r="AI30" i="5"/>
  <c r="AJ27" i="5"/>
  <c r="AH30" i="5"/>
  <c r="AK30" i="5" s="1"/>
  <c r="AA36" i="6"/>
  <c r="AB40" i="8"/>
  <c r="I5" i="6"/>
  <c r="J5" i="6"/>
  <c r="I4" i="6"/>
  <c r="J4" i="6" s="1"/>
  <c r="G7" i="6"/>
  <c r="I7" i="6" s="1"/>
  <c r="J7" i="6" s="1"/>
  <c r="Y17" i="6"/>
  <c r="AH23" i="5"/>
  <c r="AJ32" i="5"/>
  <c r="AG23" i="5"/>
  <c r="AJ23" i="5" s="1"/>
  <c r="AJ29" i="5"/>
  <c r="AG28" i="5"/>
  <c r="AJ28" i="5" s="1"/>
  <c r="AK29" i="5"/>
  <c r="AK32" i="5"/>
  <c r="AK27" i="5"/>
  <c r="AE20" i="7"/>
  <c r="AE19" i="7" s="1"/>
  <c r="G5" i="7" s="1"/>
  <c r="AB19" i="7"/>
  <c r="F5" i="7" s="1"/>
  <c r="AD20" i="7"/>
  <c r="AD19" i="7" s="1"/>
  <c r="F7" i="7" s="1"/>
  <c r="AF22" i="7"/>
  <c r="N20" i="8"/>
  <c r="E6" i="8" s="1"/>
  <c r="X532" i="2"/>
  <c r="AB27" i="8"/>
  <c r="AF39" i="7"/>
  <c r="AC28" i="8"/>
  <c r="Z20" i="8"/>
  <c r="F7" i="8" s="1"/>
  <c r="P19" i="7"/>
  <c r="E6" i="7" s="1"/>
  <c r="AF20" i="7"/>
  <c r="AC19" i="7"/>
  <c r="F6" i="7" s="1"/>
  <c r="Q19" i="7"/>
  <c r="E7" i="7" s="1"/>
  <c r="AC24" i="8"/>
  <c r="Y20" i="8"/>
  <c r="F6" i="8" s="1"/>
  <c r="O20" i="8"/>
  <c r="E7" i="8" s="1"/>
  <c r="AB21" i="8"/>
  <c r="AC22" i="8"/>
  <c r="AB25" i="8"/>
  <c r="AA20" i="8"/>
  <c r="G5" i="8" s="1"/>
  <c r="AF21" i="7"/>
  <c r="AF23" i="7"/>
  <c r="AF25" i="7"/>
  <c r="AF27" i="7"/>
  <c r="AG27" i="7"/>
  <c r="X312" i="2"/>
  <c r="AK26" i="5"/>
  <c r="AJ24" i="5"/>
  <c r="AJ31" i="5"/>
  <c r="X99" i="2"/>
  <c r="X290" i="2"/>
  <c r="X270" i="2"/>
  <c r="X359" i="2"/>
  <c r="X440" i="2"/>
  <c r="X163" i="2"/>
  <c r="X377" i="2"/>
  <c r="L20" i="2"/>
  <c r="E6" i="2" s="1"/>
  <c r="M20" i="2"/>
  <c r="X318" i="2"/>
  <c r="X183" i="2"/>
  <c r="X305" i="2"/>
  <c r="X293" i="2"/>
  <c r="U20" i="2"/>
  <c r="F6" i="2" s="1"/>
  <c r="W20" i="2"/>
  <c r="G5" i="2" s="1"/>
  <c r="X143" i="2"/>
  <c r="X38" i="2"/>
  <c r="X268" i="2"/>
  <c r="X351" i="2"/>
  <c r="V20" i="2"/>
  <c r="F7" i="2" s="1"/>
  <c r="X482" i="2"/>
  <c r="AB28" i="8"/>
  <c r="AF29" i="7"/>
  <c r="AF24" i="7"/>
  <c r="AG29" i="7"/>
  <c r="AG24" i="7"/>
  <c r="AG28" i="7"/>
  <c r="AG26" i="7"/>
  <c r="AF26" i="7"/>
  <c r="AF28" i="7"/>
  <c r="AG21" i="7"/>
  <c r="X72" i="2"/>
  <c r="X491" i="2"/>
  <c r="X416" i="2"/>
  <c r="X54" i="2"/>
  <c r="X462" i="2"/>
  <c r="X376" i="2"/>
  <c r="X238" i="2"/>
  <c r="X135" i="2"/>
  <c r="Y318" i="2"/>
  <c r="Y201" i="2"/>
  <c r="X393" i="2"/>
  <c r="X254" i="2"/>
  <c r="X201" i="2"/>
  <c r="X203" i="2"/>
  <c r="X384" i="2"/>
  <c r="X410" i="2"/>
  <c r="X196" i="2"/>
  <c r="X506" i="2"/>
  <c r="X65" i="2"/>
  <c r="X253" i="2"/>
  <c r="X221" i="2"/>
  <c r="Y305" i="2"/>
  <c r="X52" i="2"/>
  <c r="Y135" i="2"/>
  <c r="X29" i="2"/>
  <c r="X275" i="2"/>
  <c r="X193" i="2"/>
  <c r="X177" i="2"/>
  <c r="X41" i="2"/>
  <c r="X512" i="2"/>
  <c r="X181" i="2"/>
  <c r="X111" i="2"/>
  <c r="X465" i="2"/>
  <c r="X412" i="2"/>
  <c r="X154" i="2"/>
  <c r="X173" i="2"/>
  <c r="X453" i="2"/>
  <c r="X514" i="2"/>
  <c r="Y377" i="2"/>
  <c r="X35" i="2"/>
  <c r="X241" i="2"/>
  <c r="X516" i="2"/>
  <c r="Y418" i="2"/>
  <c r="X479" i="2"/>
  <c r="Y99" i="2"/>
  <c r="X174" i="2"/>
  <c r="Y514" i="2"/>
  <c r="X418" i="2"/>
  <c r="X60" i="2"/>
  <c r="X98" i="2"/>
  <c r="X110" i="2"/>
  <c r="X381" i="2"/>
  <c r="Y69" i="2"/>
  <c r="X24" i="2"/>
  <c r="X387" i="2"/>
  <c r="X469" i="2"/>
  <c r="X450" i="2"/>
  <c r="X69" i="2"/>
  <c r="Y453" i="2"/>
  <c r="X231" i="2"/>
  <c r="X70" i="2"/>
  <c r="X409" i="2"/>
  <c r="X48" i="2"/>
  <c r="X281" i="2"/>
  <c r="X383" i="2"/>
  <c r="X237" i="2"/>
  <c r="X218" i="2"/>
  <c r="X510" i="2"/>
  <c r="X207" i="2"/>
  <c r="Y502" i="2"/>
  <c r="X211" i="2"/>
  <c r="Y392" i="2"/>
  <c r="Y496" i="2"/>
  <c r="X128" i="2"/>
  <c r="X309" i="2"/>
  <c r="X488" i="2"/>
  <c r="X415" i="2"/>
  <c r="X104" i="2"/>
  <c r="X172" i="2"/>
  <c r="X51" i="2"/>
  <c r="X334" i="2"/>
  <c r="X444" i="2"/>
  <c r="X57" i="2"/>
  <c r="X261" i="2"/>
  <c r="X297" i="2"/>
  <c r="X502" i="2"/>
  <c r="Y183" i="2"/>
  <c r="X507" i="2"/>
  <c r="X463" i="2"/>
  <c r="X349" i="2"/>
  <c r="X324" i="2"/>
  <c r="Y72" i="2"/>
  <c r="X414" i="2"/>
  <c r="X392" i="2"/>
  <c r="X496" i="2"/>
  <c r="Y479" i="2"/>
  <c r="AJ25" i="5"/>
  <c r="Y24" i="2"/>
  <c r="X250" i="2"/>
  <c r="X402" i="2"/>
  <c r="Y268" i="2"/>
  <c r="X45" i="2"/>
  <c r="X137" i="2"/>
  <c r="Y203" i="2"/>
  <c r="Y351" i="2"/>
  <c r="X278" i="2"/>
  <c r="X509" i="2"/>
  <c r="X487" i="2"/>
  <c r="Y469" i="2"/>
  <c r="Y238" i="2"/>
  <c r="X513" i="2"/>
  <c r="X481" i="2"/>
  <c r="X101" i="2"/>
  <c r="X307" i="2"/>
  <c r="X140" i="2"/>
  <c r="Y207" i="2"/>
  <c r="Y254" i="2"/>
  <c r="Y237" i="2"/>
  <c r="Y414" i="2"/>
  <c r="X32" i="2"/>
  <c r="X199" i="2"/>
  <c r="X242" i="2"/>
  <c r="X427" i="2"/>
  <c r="X123" i="2"/>
  <c r="X437" i="2"/>
  <c r="X171" i="2"/>
  <c r="X372" i="2"/>
  <c r="X256" i="2"/>
  <c r="X224" i="2"/>
  <c r="X63" i="2"/>
  <c r="X96" i="2"/>
  <c r="X175" i="2"/>
  <c r="X107" i="2"/>
  <c r="X97" i="2"/>
  <c r="X23" i="2"/>
  <c r="X485" i="2"/>
  <c r="X300" i="2"/>
  <c r="X484" i="2"/>
  <c r="X429" i="2"/>
  <c r="X288" i="2"/>
  <c r="X80" i="2"/>
  <c r="X434" i="2"/>
  <c r="X459" i="2"/>
  <c r="X355" i="2"/>
  <c r="F5" i="2"/>
  <c r="S22" i="5"/>
  <c r="E5" i="5" s="1"/>
  <c r="T22" i="5"/>
  <c r="E6" i="5" s="1"/>
  <c r="E5" i="2"/>
  <c r="I6" i="6" l="1"/>
  <c r="J6" i="6" s="1"/>
  <c r="AA17" i="6"/>
  <c r="AG20" i="7"/>
  <c r="AG19" i="7" s="1"/>
  <c r="G7" i="7" s="1"/>
  <c r="AF19" i="7"/>
  <c r="G6" i="7" s="1"/>
  <c r="AH22" i="5"/>
  <c r="F6" i="5" s="1"/>
  <c r="AG22" i="5"/>
  <c r="F5" i="5" s="1"/>
  <c r="AK23" i="5"/>
  <c r="AK22" i="5" s="1"/>
  <c r="G6" i="5" s="1"/>
  <c r="AC20" i="8"/>
  <c r="G7" i="8" s="1"/>
  <c r="AB20" i="8"/>
  <c r="G6" i="8" s="1"/>
  <c r="Y20" i="2"/>
  <c r="G7" i="2" s="1"/>
  <c r="X20" i="2"/>
  <c r="G6" i="2" s="1"/>
  <c r="AJ22" i="5"/>
  <c r="G5" i="5" s="1"/>
  <c r="AM38" i="4"/>
  <c r="AM41" i="4"/>
  <c r="AM29" i="4"/>
  <c r="AM30" i="4"/>
  <c r="AM37" i="4"/>
  <c r="AM31" i="4"/>
  <c r="AM33" i="4"/>
  <c r="AM39" i="4"/>
  <c r="AM40" i="4"/>
  <c r="AM42" i="4"/>
  <c r="AM32" i="4"/>
  <c r="AM28" i="4"/>
  <c r="AM36" i="4"/>
  <c r="AM34" i="4"/>
  <c r="AM35" i="4"/>
  <c r="AN42" i="4" l="1"/>
  <c r="AO37" i="4"/>
  <c r="AO36" i="4"/>
  <c r="AO38" i="4"/>
  <c r="AO32" i="4"/>
  <c r="AN33" i="4"/>
  <c r="AO34" i="4"/>
  <c r="AO33" i="4"/>
  <c r="AO35" i="4"/>
  <c r="AO41" i="4"/>
  <c r="AO28" i="4"/>
  <c r="AO40" i="4"/>
  <c r="AO29" i="4"/>
  <c r="AO42" i="4"/>
  <c r="AN30" i="4"/>
  <c r="AO31" i="4"/>
  <c r="AO39" i="4"/>
  <c r="AO30" i="4"/>
  <c r="AN31" i="4"/>
  <c r="AL31" i="4"/>
  <c r="AL30" i="4"/>
  <c r="AL33" i="4"/>
  <c r="AL28" i="4"/>
  <c r="AL42" i="4"/>
  <c r="AL34" i="4"/>
  <c r="AL40" i="4"/>
  <c r="AL35" i="4"/>
  <c r="AL32" i="4"/>
  <c r="AL38" i="4"/>
  <c r="AL41" i="4"/>
  <c r="AL29" i="4"/>
  <c r="AL37" i="4"/>
  <c r="AL36" i="4"/>
  <c r="AL39" i="4"/>
  <c r="AN34" i="4" l="1"/>
  <c r="AN32" i="4"/>
  <c r="AN29" i="4"/>
  <c r="AN41" i="4"/>
  <c r="AN35" i="4"/>
  <c r="AN38" i="4"/>
  <c r="AN28" i="4"/>
  <c r="AN40" i="4"/>
  <c r="AN36" i="4"/>
  <c r="AN39" i="4"/>
  <c r="AN37" i="4"/>
  <c r="AH58" i="4" l="1"/>
  <c r="T58" i="4"/>
  <c r="AI58" i="4" l="1"/>
  <c r="AL58" i="4"/>
  <c r="AJ58" i="4" l="1"/>
  <c r="AK58" i="4" l="1"/>
  <c r="AM58" i="4" l="1"/>
  <c r="U58" i="4" l="1"/>
  <c r="AN58" i="4"/>
  <c r="V58" i="4"/>
  <c r="AO58" i="4"/>
  <c r="W58" i="4"/>
  <c r="D23" i="1" l="1"/>
  <c r="F8" i="1" s="1"/>
  <c r="AL27" i="4" l="1"/>
  <c r="AM27" i="4"/>
  <c r="AN27" i="4" l="1"/>
  <c r="AO27" i="4"/>
  <c r="D22" i="1" l="1"/>
  <c r="F7" i="1" s="1"/>
  <c r="AO24" i="4"/>
  <c r="AN24" i="4"/>
  <c r="AL24" i="4"/>
  <c r="AM24" i="4"/>
  <c r="AO26" i="4" l="1"/>
  <c r="AL26" i="4"/>
  <c r="AM26" i="4"/>
  <c r="U22" i="4" l="1"/>
  <c r="E6" i="4" s="1"/>
  <c r="AN26" i="4"/>
  <c r="AL25" i="4"/>
  <c r="T22" i="4"/>
  <c r="E5" i="4" l="1"/>
  <c r="G21" i="1"/>
  <c r="D21" i="1" s="1"/>
  <c r="F6" i="1" s="1"/>
  <c r="AO25" i="4"/>
  <c r="AN25" i="4"/>
  <c r="AM25" i="4"/>
  <c r="AI22" i="4"/>
  <c r="F6" i="4" s="1"/>
  <c r="G6" i="4" s="1"/>
  <c r="AL22" i="4"/>
  <c r="AH22" i="4"/>
  <c r="F5" i="4" s="1"/>
  <c r="W22" i="4"/>
  <c r="E8" i="4" s="1"/>
  <c r="V22" i="4"/>
  <c r="E7" i="4" s="1"/>
  <c r="G5" i="4" l="1"/>
  <c r="AM22" i="4"/>
  <c r="AK22" i="4"/>
  <c r="F8" i="4" s="1"/>
  <c r="G8" i="4" s="1"/>
  <c r="AN22" i="4"/>
  <c r="AJ22" i="4"/>
  <c r="F7" i="4" s="1"/>
  <c r="G7" i="4" s="1"/>
  <c r="AO22" i="4"/>
  <c r="Z50" i="25" l="1"/>
  <c r="Z48" i="25"/>
  <c r="W47" i="25"/>
  <c r="Z49" i="25"/>
  <c r="Z47" i="25" l="1"/>
  <c r="AH50" i="5"/>
  <c r="AK50" i="5" s="1"/>
  <c r="AH47" i="5"/>
  <c r="AH49" i="5"/>
  <c r="AK49" i="5" s="1"/>
  <c r="AI47" i="5"/>
  <c r="AJ46" i="5"/>
  <c r="AH51" i="5"/>
  <c r="AK51" i="5" s="1"/>
  <c r="AK47" i="5" l="1"/>
  <c r="AI49" i="5"/>
  <c r="AG46" i="5"/>
  <c r="AI48" i="5"/>
  <c r="AH48" i="5"/>
  <c r="AK48" i="5" s="1"/>
  <c r="AK46" i="5" l="1"/>
  <c r="AH46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Ozawa</author>
  </authors>
  <commentList>
    <comment ref="M18" authorId="0" shapeId="0" xr:uid="{8EEAD909-547D-4234-8418-A2145D94F4D7}">
      <text>
        <r>
          <rPr>
            <sz val="12"/>
            <color indexed="81"/>
            <rFont val="MS P ゴシック"/>
            <family val="3"/>
            <charset val="128"/>
          </rPr>
          <t>小澤記載：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<sst xmlns="http://schemas.openxmlformats.org/spreadsheetml/2006/main" count="3592" uniqueCount="1189">
  <si>
    <t>年間使用量</t>
    <rPh sb="0" eb="2">
      <t>ネンカン</t>
    </rPh>
    <rPh sb="2" eb="5">
      <t>シヨウリョウ</t>
    </rPh>
    <phoneticPr fontId="8"/>
  </si>
  <si>
    <t>CO2排出量</t>
    <rPh sb="3" eb="6">
      <t>ハイシュツリョウ</t>
    </rPh>
    <phoneticPr fontId="8"/>
  </si>
  <si>
    <t>（参考)CO2排出係数</t>
    <rPh sb="1" eb="3">
      <t>サンコウ</t>
    </rPh>
    <rPh sb="7" eb="9">
      <t>ハイシュツ</t>
    </rPh>
    <rPh sb="9" eb="11">
      <t>ケイスウ</t>
    </rPh>
    <phoneticPr fontId="10"/>
  </si>
  <si>
    <t>電気</t>
    <rPh sb="0" eb="2">
      <t>デンキ</t>
    </rPh>
    <phoneticPr fontId="8"/>
  </si>
  <si>
    <t>kWh</t>
    <phoneticPr fontId="8"/>
  </si>
  <si>
    <t>tCO2/年</t>
    <rPh sb="5" eb="6">
      <t>ネン</t>
    </rPh>
    <phoneticPr fontId="8"/>
  </si>
  <si>
    <t>都市ガス</t>
    <rPh sb="0" eb="2">
      <t>トシ</t>
    </rPh>
    <phoneticPr fontId="8"/>
  </si>
  <si>
    <t>㎥</t>
    <phoneticPr fontId="8"/>
  </si>
  <si>
    <t>L</t>
    <phoneticPr fontId="8"/>
  </si>
  <si>
    <t>液化石油ガス（LPG）</t>
    <rPh sb="0" eb="2">
      <t>エキカ</t>
    </rPh>
    <rPh sb="2" eb="4">
      <t>セキユ</t>
    </rPh>
    <phoneticPr fontId="10"/>
  </si>
  <si>
    <t>kg</t>
    <phoneticPr fontId="8"/>
  </si>
  <si>
    <t>灯油</t>
    <rPh sb="0" eb="2">
      <t>トウユ</t>
    </rPh>
    <phoneticPr fontId="10"/>
  </si>
  <si>
    <t>A重油</t>
    <rPh sb="1" eb="3">
      <t>ジュウユ</t>
    </rPh>
    <phoneticPr fontId="10"/>
  </si>
  <si>
    <t>合計</t>
    <rPh sb="0" eb="2">
      <t>ゴウケイ</t>
    </rPh>
    <phoneticPr fontId="8"/>
  </si>
  <si>
    <t>kW</t>
    <phoneticPr fontId="8"/>
  </si>
  <si>
    <t>%</t>
    <phoneticPr fontId="8"/>
  </si>
  <si>
    <t>kWh/年</t>
    <rPh sb="4" eb="5">
      <t>ネン</t>
    </rPh>
    <phoneticPr fontId="8"/>
  </si>
  <si>
    <t>項目</t>
    <rPh sb="0" eb="2">
      <t>コウモク</t>
    </rPh>
    <phoneticPr fontId="8"/>
  </si>
  <si>
    <t>単位</t>
    <rPh sb="0" eb="2">
      <t>タンイ</t>
    </rPh>
    <phoneticPr fontId="8"/>
  </si>
  <si>
    <t>更新前</t>
    <rPh sb="0" eb="3">
      <t>コウシンマエ</t>
    </rPh>
    <phoneticPr fontId="8"/>
  </si>
  <si>
    <t>更新後</t>
    <rPh sb="0" eb="2">
      <t>コウシン</t>
    </rPh>
    <rPh sb="2" eb="3">
      <t>ゴ</t>
    </rPh>
    <phoneticPr fontId="8"/>
  </si>
  <si>
    <t>削減量</t>
  </si>
  <si>
    <t>削減率</t>
    <rPh sb="0" eb="3">
      <t>サクゲンリツ</t>
    </rPh>
    <phoneticPr fontId="8"/>
  </si>
  <si>
    <t>年間消費電力量</t>
    <rPh sb="0" eb="2">
      <t>ネンカン</t>
    </rPh>
    <rPh sb="2" eb="7">
      <t>ショウヒデンリョクリョウ</t>
    </rPh>
    <phoneticPr fontId="8"/>
  </si>
  <si>
    <t>kl/年</t>
    <rPh sb="3" eb="4">
      <t>ネン</t>
    </rPh>
    <phoneticPr fontId="8"/>
  </si>
  <si>
    <t>機種別内訳</t>
    <rPh sb="0" eb="3">
      <t>キシュベツ</t>
    </rPh>
    <rPh sb="3" eb="5">
      <t>ウチワケ</t>
    </rPh>
    <phoneticPr fontId="8"/>
  </si>
  <si>
    <t>削減効果</t>
    <rPh sb="0" eb="2">
      <t>サクゲン</t>
    </rPh>
    <rPh sb="2" eb="4">
      <t>コウカ</t>
    </rPh>
    <phoneticPr fontId="8"/>
  </si>
  <si>
    <t>メーカー・型番</t>
    <rPh sb="5" eb="7">
      <t>カタバン</t>
    </rPh>
    <phoneticPr fontId="8"/>
  </si>
  <si>
    <t>消費電力（a）</t>
    <rPh sb="0" eb="2">
      <t>ショウヒ</t>
    </rPh>
    <rPh sb="2" eb="4">
      <t>デンリョク</t>
    </rPh>
    <phoneticPr fontId="8"/>
  </si>
  <si>
    <t>数量(n)</t>
    <rPh sb="0" eb="2">
      <t>スウリョウ</t>
    </rPh>
    <phoneticPr fontId="8"/>
  </si>
  <si>
    <t>年間消費電力量(E)</t>
    <rPh sb="0" eb="2">
      <t>ネンカン</t>
    </rPh>
    <rPh sb="2" eb="7">
      <t>ショウヒデンリョクリョウ</t>
    </rPh>
    <phoneticPr fontId="8"/>
  </si>
  <si>
    <t>消費電力（a'）</t>
    <rPh sb="0" eb="2">
      <t>ショウヒ</t>
    </rPh>
    <rPh sb="2" eb="4">
      <t>デンリョク</t>
    </rPh>
    <phoneticPr fontId="8"/>
  </si>
  <si>
    <t>数量(n')</t>
    <rPh sb="0" eb="2">
      <t>スウリョウ</t>
    </rPh>
    <phoneticPr fontId="8"/>
  </si>
  <si>
    <t>年間使用日数</t>
    <rPh sb="0" eb="2">
      <t>ネンカン</t>
    </rPh>
    <rPh sb="2" eb="4">
      <t>シヨウ</t>
    </rPh>
    <rPh sb="4" eb="6">
      <t>ニッスウ</t>
    </rPh>
    <phoneticPr fontId="8"/>
  </si>
  <si>
    <t>年間消費電力量(E')</t>
    <rPh sb="0" eb="2">
      <t>ネンカン</t>
    </rPh>
    <rPh sb="2" eb="7">
      <t>ショウヒデンリョクリョウ</t>
    </rPh>
    <phoneticPr fontId="8"/>
  </si>
  <si>
    <t>CO2排出量(C')</t>
    <rPh sb="3" eb="6">
      <t>ハイシュツリョウ</t>
    </rPh>
    <phoneticPr fontId="8"/>
  </si>
  <si>
    <t>電力削減量（E-E’）</t>
    <rPh sb="0" eb="2">
      <t>デンリョク</t>
    </rPh>
    <rPh sb="2" eb="5">
      <t>サクゲンリョウ</t>
    </rPh>
    <phoneticPr fontId="8"/>
  </si>
  <si>
    <t>W/台</t>
    <rPh sb="2" eb="3">
      <t>ダイ</t>
    </rPh>
    <phoneticPr fontId="8"/>
  </si>
  <si>
    <t>台</t>
    <rPh sb="0" eb="1">
      <t>ダイ</t>
    </rPh>
    <phoneticPr fontId="8"/>
  </si>
  <si>
    <t>時間／日</t>
    <rPh sb="0" eb="2">
      <t>ジカン</t>
    </rPh>
    <rPh sb="3" eb="4">
      <t>ニチ</t>
    </rPh>
    <phoneticPr fontId="8"/>
  </si>
  <si>
    <t>日／年</t>
    <rPh sb="0" eb="1">
      <t>ニチ</t>
    </rPh>
    <rPh sb="2" eb="3">
      <t>ネン</t>
    </rPh>
    <phoneticPr fontId="8"/>
  </si>
  <si>
    <t>時間／年</t>
    <rPh sb="0" eb="2">
      <t>ジカン</t>
    </rPh>
    <rPh sb="3" eb="4">
      <t>ネン</t>
    </rPh>
    <phoneticPr fontId="8"/>
  </si>
  <si>
    <t>機種1</t>
    <rPh sb="0" eb="2">
      <t>キシュ</t>
    </rPh>
    <phoneticPr fontId="8"/>
  </si>
  <si>
    <t>機種2</t>
    <rPh sb="0" eb="2">
      <t>キシュ</t>
    </rPh>
    <phoneticPr fontId="8"/>
  </si>
  <si>
    <t>機種3</t>
    <rPh sb="0" eb="2">
      <t>キシュ</t>
    </rPh>
    <phoneticPr fontId="8"/>
  </si>
  <si>
    <t>機種4</t>
    <rPh sb="0" eb="2">
      <t>キシュ</t>
    </rPh>
    <phoneticPr fontId="8"/>
  </si>
  <si>
    <t>機種5</t>
    <rPh sb="0" eb="2">
      <t>キシュ</t>
    </rPh>
    <phoneticPr fontId="8"/>
  </si>
  <si>
    <t>機種6</t>
    <rPh sb="0" eb="2">
      <t>キシュ</t>
    </rPh>
    <phoneticPr fontId="8"/>
  </si>
  <si>
    <t>機種7</t>
    <rPh sb="0" eb="2">
      <t>キシュ</t>
    </rPh>
    <phoneticPr fontId="8"/>
  </si>
  <si>
    <t>機種8</t>
    <rPh sb="0" eb="2">
      <t>キシュ</t>
    </rPh>
    <phoneticPr fontId="8"/>
  </si>
  <si>
    <t>機種9</t>
    <rPh sb="0" eb="2">
      <t>キシュ</t>
    </rPh>
    <phoneticPr fontId="8"/>
  </si>
  <si>
    <t>機種10</t>
    <rPh sb="0" eb="2">
      <t>キシュ</t>
    </rPh>
    <phoneticPr fontId="8"/>
  </si>
  <si>
    <t>機種11</t>
    <rPh sb="0" eb="2">
      <t>キシュ</t>
    </rPh>
    <phoneticPr fontId="8"/>
  </si>
  <si>
    <t>機種12</t>
    <rPh sb="0" eb="2">
      <t>キシュ</t>
    </rPh>
    <phoneticPr fontId="8"/>
  </si>
  <si>
    <t>機種13</t>
    <rPh sb="0" eb="2">
      <t>キシュ</t>
    </rPh>
    <phoneticPr fontId="8"/>
  </si>
  <si>
    <t>機種14</t>
    <rPh sb="0" eb="2">
      <t>キシュ</t>
    </rPh>
    <phoneticPr fontId="8"/>
  </si>
  <si>
    <t>機種15</t>
    <rPh sb="0" eb="2">
      <t>キシュ</t>
    </rPh>
    <phoneticPr fontId="8"/>
  </si>
  <si>
    <t>機種16</t>
    <rPh sb="0" eb="2">
      <t>キシュ</t>
    </rPh>
    <phoneticPr fontId="8"/>
  </si>
  <si>
    <t>機種17</t>
    <rPh sb="0" eb="2">
      <t>キシュ</t>
    </rPh>
    <phoneticPr fontId="8"/>
  </si>
  <si>
    <t>機種18</t>
    <rPh sb="0" eb="2">
      <t>キシュ</t>
    </rPh>
    <phoneticPr fontId="8"/>
  </si>
  <si>
    <t>機種19</t>
    <rPh sb="0" eb="2">
      <t>キシュ</t>
    </rPh>
    <phoneticPr fontId="8"/>
  </si>
  <si>
    <t>機種20</t>
    <rPh sb="0" eb="2">
      <t>キシュ</t>
    </rPh>
    <phoneticPr fontId="8"/>
  </si>
  <si>
    <t>機種21</t>
    <rPh sb="0" eb="2">
      <t>キシュ</t>
    </rPh>
    <phoneticPr fontId="8"/>
  </si>
  <si>
    <t>機種22</t>
    <rPh sb="0" eb="2">
      <t>キシュ</t>
    </rPh>
    <phoneticPr fontId="8"/>
  </si>
  <si>
    <t>機種23</t>
    <rPh sb="0" eb="2">
      <t>キシュ</t>
    </rPh>
    <phoneticPr fontId="8"/>
  </si>
  <si>
    <t>機種24</t>
    <rPh sb="0" eb="2">
      <t>キシュ</t>
    </rPh>
    <phoneticPr fontId="8"/>
  </si>
  <si>
    <t>機種25</t>
    <rPh sb="0" eb="2">
      <t>キシュ</t>
    </rPh>
    <phoneticPr fontId="8"/>
  </si>
  <si>
    <t>機種26</t>
    <rPh sb="0" eb="2">
      <t>キシュ</t>
    </rPh>
    <phoneticPr fontId="8"/>
  </si>
  <si>
    <t>機種27</t>
    <rPh sb="0" eb="2">
      <t>キシュ</t>
    </rPh>
    <phoneticPr fontId="8"/>
  </si>
  <si>
    <t>機種28</t>
    <rPh sb="0" eb="2">
      <t>キシュ</t>
    </rPh>
    <phoneticPr fontId="8"/>
  </si>
  <si>
    <t>機種29</t>
    <rPh sb="0" eb="2">
      <t>キシュ</t>
    </rPh>
    <phoneticPr fontId="8"/>
  </si>
  <si>
    <t>機種30</t>
    <rPh sb="0" eb="2">
      <t>キシュ</t>
    </rPh>
    <phoneticPr fontId="8"/>
  </si>
  <si>
    <t>機種31</t>
    <rPh sb="0" eb="2">
      <t>キシュ</t>
    </rPh>
    <phoneticPr fontId="8"/>
  </si>
  <si>
    <t>機種32</t>
    <rPh sb="0" eb="2">
      <t>キシュ</t>
    </rPh>
    <phoneticPr fontId="8"/>
  </si>
  <si>
    <t>機種33</t>
    <rPh sb="0" eb="2">
      <t>キシュ</t>
    </rPh>
    <phoneticPr fontId="8"/>
  </si>
  <si>
    <t>機種34</t>
    <rPh sb="0" eb="2">
      <t>キシュ</t>
    </rPh>
    <phoneticPr fontId="8"/>
  </si>
  <si>
    <t>機種35</t>
    <rPh sb="0" eb="2">
      <t>キシュ</t>
    </rPh>
    <phoneticPr fontId="8"/>
  </si>
  <si>
    <t>機種36</t>
    <rPh sb="0" eb="2">
      <t>キシュ</t>
    </rPh>
    <phoneticPr fontId="8"/>
  </si>
  <si>
    <t>機種37</t>
    <rPh sb="0" eb="2">
      <t>キシュ</t>
    </rPh>
    <phoneticPr fontId="8"/>
  </si>
  <si>
    <t>機種38</t>
    <rPh sb="0" eb="2">
      <t>キシュ</t>
    </rPh>
    <phoneticPr fontId="8"/>
  </si>
  <si>
    <t>機種39</t>
    <rPh sb="0" eb="2">
      <t>キシュ</t>
    </rPh>
    <phoneticPr fontId="8"/>
  </si>
  <si>
    <t>機種40</t>
    <rPh sb="0" eb="2">
      <t>キシュ</t>
    </rPh>
    <phoneticPr fontId="8"/>
  </si>
  <si>
    <t>機種41</t>
    <rPh sb="0" eb="2">
      <t>キシュ</t>
    </rPh>
    <phoneticPr fontId="8"/>
  </si>
  <si>
    <t>機種42</t>
    <rPh sb="0" eb="2">
      <t>キシュ</t>
    </rPh>
    <phoneticPr fontId="8"/>
  </si>
  <si>
    <t>機種43</t>
    <rPh sb="0" eb="2">
      <t>キシュ</t>
    </rPh>
    <phoneticPr fontId="8"/>
  </si>
  <si>
    <t>機種44</t>
    <rPh sb="0" eb="2">
      <t>キシュ</t>
    </rPh>
    <phoneticPr fontId="8"/>
  </si>
  <si>
    <t>機種45</t>
    <rPh sb="0" eb="2">
      <t>キシュ</t>
    </rPh>
    <phoneticPr fontId="8"/>
  </si>
  <si>
    <t>機種46</t>
    <rPh sb="0" eb="2">
      <t>キシュ</t>
    </rPh>
    <phoneticPr fontId="8"/>
  </si>
  <si>
    <t>機種47</t>
    <rPh sb="0" eb="2">
      <t>キシュ</t>
    </rPh>
    <phoneticPr fontId="8"/>
  </si>
  <si>
    <t>機種48</t>
    <rPh sb="0" eb="2">
      <t>キシュ</t>
    </rPh>
    <phoneticPr fontId="8"/>
  </si>
  <si>
    <t>機種49</t>
    <rPh sb="0" eb="2">
      <t>キシュ</t>
    </rPh>
    <phoneticPr fontId="8"/>
  </si>
  <si>
    <t>機種50</t>
    <rPh sb="0" eb="2">
      <t>キシュ</t>
    </rPh>
    <phoneticPr fontId="8"/>
  </si>
  <si>
    <t>負荷率</t>
    <rPh sb="0" eb="3">
      <t>フカリツ</t>
    </rPh>
    <phoneticPr fontId="8"/>
  </si>
  <si>
    <t>電力消費量</t>
    <rPh sb="0" eb="2">
      <t>デンリョク</t>
    </rPh>
    <rPh sb="2" eb="5">
      <t>ショウヒリョウ</t>
    </rPh>
    <phoneticPr fontId="8"/>
  </si>
  <si>
    <t>CO2排出量</t>
    <rPh sb="3" eb="5">
      <t>ハイシュツ</t>
    </rPh>
    <rPh sb="5" eb="6">
      <t>リョウ</t>
    </rPh>
    <phoneticPr fontId="8"/>
  </si>
  <si>
    <t>更新後</t>
    <rPh sb="0" eb="3">
      <t>コウシンゴ</t>
    </rPh>
    <phoneticPr fontId="8"/>
  </si>
  <si>
    <t>冷房</t>
    <rPh sb="0" eb="2">
      <t>レイボウ</t>
    </rPh>
    <phoneticPr fontId="8"/>
  </si>
  <si>
    <t>暖房</t>
    <rPh sb="0" eb="2">
      <t>ダンボウ</t>
    </rPh>
    <phoneticPr fontId="8"/>
  </si>
  <si>
    <t>kW/台</t>
    <rPh sb="3" eb="4">
      <t>ダイ</t>
    </rPh>
    <phoneticPr fontId="8"/>
  </si>
  <si>
    <t>13A</t>
    <phoneticPr fontId="14"/>
  </si>
  <si>
    <t>12A</t>
    <phoneticPr fontId="14"/>
  </si>
  <si>
    <t>ガス消費量</t>
    <rPh sb="2" eb="5">
      <t>ショウヒリョウ</t>
    </rPh>
    <phoneticPr fontId="8"/>
  </si>
  <si>
    <t>㎥/年</t>
    <rPh sb="2" eb="3">
      <t>ネン</t>
    </rPh>
    <phoneticPr fontId="8"/>
  </si>
  <si>
    <t>LP</t>
    <phoneticPr fontId="14"/>
  </si>
  <si>
    <t>燃料種類</t>
    <rPh sb="0" eb="2">
      <t>ネンリョウ</t>
    </rPh>
    <rPh sb="2" eb="4">
      <t>シュルイ</t>
    </rPh>
    <phoneticPr fontId="14"/>
  </si>
  <si>
    <t>排出係数</t>
    <rPh sb="0" eb="4">
      <t>ハイシュツケイスウ</t>
    </rPh>
    <phoneticPr fontId="8"/>
  </si>
  <si>
    <t>燃料削減量(F-F')</t>
    <rPh sb="0" eb="2">
      <t>ネンリョウ</t>
    </rPh>
    <rPh sb="2" eb="4">
      <t>サクゲン</t>
    </rPh>
    <phoneticPr fontId="8"/>
  </si>
  <si>
    <t>㎥/年</t>
    <phoneticPr fontId="8"/>
  </si>
  <si>
    <t>燃料単位</t>
    <rPh sb="0" eb="4">
      <t>ネンリョウタンイ</t>
    </rPh>
    <phoneticPr fontId="8"/>
  </si>
  <si>
    <t>原油換算発熱量</t>
    <rPh sb="0" eb="4">
      <t>ゲンユカンザン</t>
    </rPh>
    <rPh sb="4" eb="7">
      <t>ハツネツリョウ</t>
    </rPh>
    <phoneticPr fontId="8"/>
  </si>
  <si>
    <t>都市ガス</t>
    <rPh sb="0" eb="2">
      <t>トシ</t>
    </rPh>
    <phoneticPr fontId="10"/>
  </si>
  <si>
    <t>燃料単位</t>
    <rPh sb="0" eb="2">
      <t>ネンリョウ</t>
    </rPh>
    <rPh sb="2" eb="4">
      <t>タンイ</t>
    </rPh>
    <phoneticPr fontId="8"/>
  </si>
  <si>
    <t>能力</t>
    <rPh sb="0" eb="2">
      <t>ノウリョク</t>
    </rPh>
    <phoneticPr fontId="8"/>
  </si>
  <si>
    <t>効率</t>
    <rPh sb="0" eb="2">
      <t>コウリツ</t>
    </rPh>
    <phoneticPr fontId="8"/>
  </si>
  <si>
    <t>燃料消費量(A)</t>
    <phoneticPr fontId="8"/>
  </si>
  <si>
    <t>必要熱量</t>
    <rPh sb="0" eb="2">
      <t>ヒツヨウ</t>
    </rPh>
    <rPh sb="2" eb="4">
      <t>ネツリョウ</t>
    </rPh>
    <phoneticPr fontId="8"/>
  </si>
  <si>
    <t>年間燃料消費量(F)</t>
    <rPh sb="0" eb="2">
      <t>ネンカン</t>
    </rPh>
    <rPh sb="6" eb="7">
      <t>リョウ</t>
    </rPh>
    <phoneticPr fontId="8"/>
  </si>
  <si>
    <t>CO2排出量(C)</t>
    <rPh sb="3" eb="6">
      <t>ハイシュツリョウ</t>
    </rPh>
    <phoneticPr fontId="8"/>
  </si>
  <si>
    <t>燃料消費量(A')</t>
    <phoneticPr fontId="8"/>
  </si>
  <si>
    <t>年間燃料消費量(F')</t>
    <rPh sb="0" eb="2">
      <t>ネンカン</t>
    </rPh>
    <rPh sb="6" eb="7">
      <t>リョウ</t>
    </rPh>
    <phoneticPr fontId="8"/>
  </si>
  <si>
    <t>CO2削減量(C-C')</t>
    <rPh sb="3" eb="6">
      <t>サクゲンリョウ</t>
    </rPh>
    <phoneticPr fontId="8"/>
  </si>
  <si>
    <t>％</t>
    <phoneticPr fontId="8"/>
  </si>
  <si>
    <t>設備1</t>
    <rPh sb="0" eb="2">
      <t>セツビ</t>
    </rPh>
    <phoneticPr fontId="8"/>
  </si>
  <si>
    <t>設備2</t>
    <rPh sb="0" eb="2">
      <t>セツビ</t>
    </rPh>
    <phoneticPr fontId="8"/>
  </si>
  <si>
    <t>設備3</t>
    <rPh sb="0" eb="2">
      <t>セツビ</t>
    </rPh>
    <phoneticPr fontId="8"/>
  </si>
  <si>
    <t>設備4</t>
    <rPh sb="0" eb="2">
      <t>セツビ</t>
    </rPh>
    <phoneticPr fontId="8"/>
  </si>
  <si>
    <t>設備5</t>
    <rPh sb="0" eb="2">
      <t>セツビ</t>
    </rPh>
    <phoneticPr fontId="8"/>
  </si>
  <si>
    <t>設備6</t>
    <rPh sb="0" eb="2">
      <t>セツビ</t>
    </rPh>
    <phoneticPr fontId="8"/>
  </si>
  <si>
    <t>設備7</t>
    <rPh sb="0" eb="2">
      <t>セツビ</t>
    </rPh>
    <phoneticPr fontId="8"/>
  </si>
  <si>
    <t>設備8</t>
    <rPh sb="0" eb="2">
      <t>セツビ</t>
    </rPh>
    <phoneticPr fontId="8"/>
  </si>
  <si>
    <t>設備9</t>
    <rPh sb="0" eb="2">
      <t>セツビ</t>
    </rPh>
    <phoneticPr fontId="8"/>
  </si>
  <si>
    <t>設備10</t>
    <rPh sb="0" eb="2">
      <t>セツビ</t>
    </rPh>
    <phoneticPr fontId="8"/>
  </si>
  <si>
    <t>設備11</t>
    <rPh sb="0" eb="2">
      <t>セツビ</t>
    </rPh>
    <phoneticPr fontId="8"/>
  </si>
  <si>
    <t>設備12</t>
    <rPh sb="0" eb="2">
      <t>セツビ</t>
    </rPh>
    <phoneticPr fontId="8"/>
  </si>
  <si>
    <t>設備13</t>
    <rPh sb="0" eb="2">
      <t>セツビ</t>
    </rPh>
    <phoneticPr fontId="8"/>
  </si>
  <si>
    <t>設備14</t>
    <rPh sb="0" eb="2">
      <t>セツビ</t>
    </rPh>
    <phoneticPr fontId="8"/>
  </si>
  <si>
    <t>設備15</t>
    <rPh sb="0" eb="2">
      <t>セツビ</t>
    </rPh>
    <phoneticPr fontId="8"/>
  </si>
  <si>
    <t>その他設備の更新</t>
    <rPh sb="2" eb="5">
      <t>タセツビ</t>
    </rPh>
    <rPh sb="6" eb="8">
      <t>コウシン</t>
    </rPh>
    <phoneticPr fontId="8"/>
  </si>
  <si>
    <t>その他設備の更新によるCO2削減量、光熱費削減量</t>
    <rPh sb="2" eb="3">
      <t>タ</t>
    </rPh>
    <rPh sb="3" eb="5">
      <t>セツビ</t>
    </rPh>
    <rPh sb="6" eb="8">
      <t>コウシン</t>
    </rPh>
    <rPh sb="14" eb="17">
      <t>サクゲンリョウ</t>
    </rPh>
    <rPh sb="18" eb="21">
      <t>コウネツヒ</t>
    </rPh>
    <rPh sb="21" eb="24">
      <t>サクゲンリョウ</t>
    </rPh>
    <phoneticPr fontId="8"/>
  </si>
  <si>
    <t>燃料消費量</t>
    <rPh sb="0" eb="2">
      <t>ネンリョウ</t>
    </rPh>
    <rPh sb="2" eb="5">
      <t>ショウヒリョウ</t>
    </rPh>
    <phoneticPr fontId="8"/>
  </si>
  <si>
    <t>設備16</t>
    <rPh sb="0" eb="2">
      <t>セツビ</t>
    </rPh>
    <phoneticPr fontId="8"/>
  </si>
  <si>
    <t>設備17</t>
    <rPh sb="0" eb="2">
      <t>セツビ</t>
    </rPh>
    <phoneticPr fontId="8"/>
  </si>
  <si>
    <t>設備18</t>
    <rPh sb="0" eb="2">
      <t>セツビ</t>
    </rPh>
    <phoneticPr fontId="8"/>
  </si>
  <si>
    <t>設備19</t>
    <rPh sb="0" eb="2">
      <t>セツビ</t>
    </rPh>
    <phoneticPr fontId="8"/>
  </si>
  <si>
    <t>設備20</t>
    <rPh sb="0" eb="2">
      <t>セツビ</t>
    </rPh>
    <phoneticPr fontId="8"/>
  </si>
  <si>
    <t>規格</t>
    <rPh sb="0" eb="2">
      <t>キカク</t>
    </rPh>
    <phoneticPr fontId="8"/>
  </si>
  <si>
    <t>極数</t>
    <rPh sb="0" eb="1">
      <t>キョク</t>
    </rPh>
    <rPh sb="1" eb="2">
      <t>スウ</t>
    </rPh>
    <phoneticPr fontId="8"/>
  </si>
  <si>
    <t>h/年</t>
    <rPh sb="2" eb="3">
      <t>ネン</t>
    </rPh>
    <phoneticPr fontId="8"/>
  </si>
  <si>
    <t>IE3</t>
  </si>
  <si>
    <t>IE1</t>
  </si>
  <si>
    <t>変圧器の更新</t>
    <rPh sb="0" eb="3">
      <t>ヘンアツキ</t>
    </rPh>
    <rPh sb="4" eb="6">
      <t>コウシン</t>
    </rPh>
    <phoneticPr fontId="8"/>
  </si>
  <si>
    <t>容量</t>
    <rPh sb="0" eb="2">
      <t>ヨウリョウ</t>
    </rPh>
    <phoneticPr fontId="8"/>
  </si>
  <si>
    <t>kVA</t>
    <phoneticPr fontId="8"/>
  </si>
  <si>
    <t>W</t>
    <phoneticPr fontId="8"/>
  </si>
  <si>
    <t>排出係数</t>
    <rPh sb="0" eb="4">
      <t>ハイシュツケイスウ</t>
    </rPh>
    <phoneticPr fontId="10"/>
  </si>
  <si>
    <t>エネルギーの種類</t>
    <rPh sb="6" eb="8">
      <t>シュルイ</t>
    </rPh>
    <phoneticPr fontId="10"/>
  </si>
  <si>
    <t>発熱量単位</t>
    <rPh sb="3" eb="5">
      <t>タンイ</t>
    </rPh>
    <phoneticPr fontId="10"/>
  </si>
  <si>
    <t>炭素換算</t>
    <rPh sb="0" eb="4">
      <t>タンソカンサン</t>
    </rPh>
    <phoneticPr fontId="10"/>
  </si>
  <si>
    <t>単位</t>
    <rPh sb="0" eb="2">
      <t>タンイ</t>
    </rPh>
    <phoneticPr fontId="10"/>
  </si>
  <si>
    <t>CO2排出係数</t>
    <rPh sb="3" eb="5">
      <t>ハイシュツ</t>
    </rPh>
    <rPh sb="5" eb="7">
      <t>ケイスウ</t>
    </rPh>
    <phoneticPr fontId="10"/>
  </si>
  <si>
    <t>原油（コンデンセートを除く。）</t>
    <rPh sb="0" eb="2">
      <t>ゲンユ</t>
    </rPh>
    <rPh sb="11" eb="12">
      <t>ノゾ</t>
    </rPh>
    <phoneticPr fontId="10"/>
  </si>
  <si>
    <t>tC/GJ</t>
    <phoneticPr fontId="10"/>
  </si>
  <si>
    <t>原油のうちコンデンセート（NGL）</t>
    <rPh sb="0" eb="2">
      <t>ゲンユ</t>
    </rPh>
    <phoneticPr fontId="10"/>
  </si>
  <si>
    <t>揮発油（ガソリン）</t>
    <rPh sb="0" eb="3">
      <t>キハツユ</t>
    </rPh>
    <phoneticPr fontId="10"/>
  </si>
  <si>
    <t>ナフサ</t>
    <phoneticPr fontId="10"/>
  </si>
  <si>
    <t>軽油</t>
    <rPh sb="0" eb="2">
      <t>ケイユ</t>
    </rPh>
    <phoneticPr fontId="10"/>
  </si>
  <si>
    <t>B・C重油</t>
    <rPh sb="3" eb="5">
      <t>ジュウユ</t>
    </rPh>
    <phoneticPr fontId="10"/>
  </si>
  <si>
    <t>石油アスファルト</t>
    <rPh sb="0" eb="2">
      <t>セキユ</t>
    </rPh>
    <phoneticPr fontId="10"/>
  </si>
  <si>
    <t>石油コークス</t>
    <rPh sb="0" eb="2">
      <t>セキユ</t>
    </rPh>
    <phoneticPr fontId="10"/>
  </si>
  <si>
    <t>石油系炭化水素ガス</t>
    <rPh sb="0" eb="3">
      <t>セキユケイ</t>
    </rPh>
    <rPh sb="3" eb="5">
      <t>タンカ</t>
    </rPh>
    <rPh sb="5" eb="7">
      <t>スイソ</t>
    </rPh>
    <phoneticPr fontId="10"/>
  </si>
  <si>
    <t>その他可燃性天然ガス</t>
    <rPh sb="2" eb="3">
      <t>タ</t>
    </rPh>
    <rPh sb="3" eb="6">
      <t>カネンセイ</t>
    </rPh>
    <rPh sb="6" eb="8">
      <t>テンネン</t>
    </rPh>
    <phoneticPr fontId="10"/>
  </si>
  <si>
    <t>原料炭</t>
    <rPh sb="0" eb="2">
      <t>ゲンリョウ</t>
    </rPh>
    <rPh sb="2" eb="3">
      <t>タン</t>
    </rPh>
    <phoneticPr fontId="10"/>
  </si>
  <si>
    <t>一般炭</t>
    <rPh sb="0" eb="2">
      <t>イッパン</t>
    </rPh>
    <rPh sb="2" eb="3">
      <t>タン</t>
    </rPh>
    <phoneticPr fontId="10"/>
  </si>
  <si>
    <t>無煙炭</t>
    <rPh sb="0" eb="2">
      <t>ムエン</t>
    </rPh>
    <rPh sb="2" eb="3">
      <t>タン</t>
    </rPh>
    <phoneticPr fontId="10"/>
  </si>
  <si>
    <t>石炭コークス</t>
    <rPh sb="0" eb="2">
      <t>セキタン</t>
    </rPh>
    <phoneticPr fontId="10"/>
  </si>
  <si>
    <t>コールタール</t>
    <phoneticPr fontId="10"/>
  </si>
  <si>
    <t>コークス炉ガス</t>
    <rPh sb="4" eb="5">
      <t>ロ</t>
    </rPh>
    <phoneticPr fontId="10"/>
  </si>
  <si>
    <t>高炉ガス</t>
    <rPh sb="0" eb="2">
      <t>コウロ</t>
    </rPh>
    <phoneticPr fontId="10"/>
  </si>
  <si>
    <t>転炉ガス</t>
    <rPh sb="0" eb="2">
      <t>テンロ</t>
    </rPh>
    <phoneticPr fontId="10"/>
  </si>
  <si>
    <t>産業用蒸気</t>
    <rPh sb="0" eb="3">
      <t>サンギョウヨウ</t>
    </rPh>
    <rPh sb="3" eb="5">
      <t>ジョウキ</t>
    </rPh>
    <phoneticPr fontId="10"/>
  </si>
  <si>
    <t>tCO2/GJ</t>
    <phoneticPr fontId="10"/>
  </si>
  <si>
    <t>産業用以外の蒸気</t>
    <rPh sb="0" eb="3">
      <t>サンギョウヨウ</t>
    </rPh>
    <rPh sb="3" eb="5">
      <t>イガイ</t>
    </rPh>
    <rPh sb="6" eb="8">
      <t>ジョウキ</t>
    </rPh>
    <phoneticPr fontId="10"/>
  </si>
  <si>
    <t>温水</t>
    <rPh sb="0" eb="2">
      <t>オンスイ</t>
    </rPh>
    <phoneticPr fontId="10"/>
  </si>
  <si>
    <t>冷水</t>
    <rPh sb="0" eb="2">
      <t>レイスイ</t>
    </rPh>
    <phoneticPr fontId="10"/>
  </si>
  <si>
    <t>tCO2/kWh</t>
    <phoneticPr fontId="10"/>
  </si>
  <si>
    <t>2極</t>
    <phoneticPr fontId="8"/>
  </si>
  <si>
    <t>4極</t>
  </si>
  <si>
    <t>6極</t>
    <phoneticPr fontId="8"/>
  </si>
  <si>
    <t>8極</t>
    <rPh sb="1" eb="2">
      <t>キョク</t>
    </rPh>
    <phoneticPr fontId="8"/>
  </si>
  <si>
    <t>IE1</t>
    <phoneticPr fontId="8"/>
  </si>
  <si>
    <t>IE2</t>
    <phoneticPr fontId="8"/>
  </si>
  <si>
    <t>IE3</t>
    <phoneticPr fontId="8"/>
  </si>
  <si>
    <t>IE4</t>
    <phoneticPr fontId="8"/>
  </si>
  <si>
    <t>※台数(n)の増加は認められません。</t>
    <rPh sb="1" eb="3">
      <t>ダイスウ</t>
    </rPh>
    <rPh sb="7" eb="9">
      <t>ゾウカ</t>
    </rPh>
    <rPh sb="10" eb="11">
      <t>ミト</t>
    </rPh>
    <phoneticPr fontId="8"/>
  </si>
  <si>
    <t>入力例</t>
    <rPh sb="0" eb="2">
      <t>ニュウリョク</t>
    </rPh>
    <rPh sb="2" eb="3">
      <t>レイ</t>
    </rPh>
    <phoneticPr fontId="8"/>
  </si>
  <si>
    <t>定格能力合計（kW）</t>
    <rPh sb="0" eb="2">
      <t>テイカク</t>
    </rPh>
    <rPh sb="2" eb="4">
      <t>ノウリョク</t>
    </rPh>
    <rPh sb="4" eb="6">
      <t>ゴウケイ</t>
    </rPh>
    <phoneticPr fontId="8"/>
  </si>
  <si>
    <t>kW/台</t>
    <rPh sb="3" eb="4">
      <t>ダイ</t>
    </rPh>
    <phoneticPr fontId="8"/>
  </si>
  <si>
    <t>○</t>
  </si>
  <si>
    <t>％</t>
    <phoneticPr fontId="8"/>
  </si>
  <si>
    <t>空冷式冷房能力</t>
    <rPh sb="0" eb="3">
      <t>クウレイシキ</t>
    </rPh>
    <rPh sb="3" eb="5">
      <t>レイボウ</t>
    </rPh>
    <rPh sb="5" eb="7">
      <t>ノウリョク</t>
    </rPh>
    <phoneticPr fontId="8"/>
  </si>
  <si>
    <t>kcal/h</t>
    <phoneticPr fontId="8"/>
  </si>
  <si>
    <t> 1.6/1.8</t>
  </si>
  <si>
    <t> 1,400/1,600</t>
  </si>
  <si>
    <t> 0.7</t>
  </si>
  <si>
    <t> 2.0/2.2</t>
  </si>
  <si>
    <t> 1,800/2,000</t>
  </si>
  <si>
    <t> 0.8</t>
  </si>
  <si>
    <t> 2.5/2.8</t>
  </si>
  <si>
    <t> 2,240/2,500</t>
  </si>
  <si>
    <t> 1</t>
  </si>
  <si>
    <t> 3.2/3.6</t>
  </si>
  <si>
    <t> 2,800/3,150</t>
  </si>
  <si>
    <t> 1.3</t>
  </si>
  <si>
    <t> 4.0/4.5</t>
  </si>
  <si>
    <t> 3,550/4,000</t>
  </si>
  <si>
    <t> 1.8</t>
  </si>
  <si>
    <t> 4.5/5.0</t>
  </si>
  <si>
    <t> 4,000/4,500</t>
  </si>
  <si>
    <t> 2</t>
  </si>
  <si>
    <t> 5.0/5.6</t>
  </si>
  <si>
    <t> 4,500/5,000</t>
  </si>
  <si>
    <t> 2.3</t>
  </si>
  <si>
    <t> 5.6/6.3</t>
  </si>
  <si>
    <t> 5,000/5,600</t>
  </si>
  <si>
    <t> 2.5</t>
  </si>
  <si>
    <t> 6.3/7.1</t>
  </si>
  <si>
    <t> 5,600/6,300</t>
  </si>
  <si>
    <t> 2.8</t>
  </si>
  <si>
    <t> 7.1/8.0</t>
  </si>
  <si>
    <t> 6,300/7,100</t>
  </si>
  <si>
    <t> 3</t>
  </si>
  <si>
    <t> 8.0/9.0</t>
  </si>
  <si>
    <t> 7,100/8,000</t>
  </si>
  <si>
    <t> 3.3</t>
  </si>
  <si>
    <t> 10/11.2</t>
  </si>
  <si>
    <t> 9,000/10,000</t>
  </si>
  <si>
    <t> 4</t>
  </si>
  <si>
    <t> 12.5/14.0</t>
  </si>
  <si>
    <t> 11,200/12,500</t>
  </si>
  <si>
    <t> 5</t>
  </si>
  <si>
    <t> 14.0/16.0</t>
  </si>
  <si>
    <t> 12,500/14,000</t>
  </si>
  <si>
    <t> 6</t>
  </si>
  <si>
    <t> 18.0/20.0</t>
  </si>
  <si>
    <t> 16,000/18,000</t>
  </si>
  <si>
    <t> 7.5</t>
  </si>
  <si>
    <t> 20.0/22.4</t>
  </si>
  <si>
    <t> 18,000/20,000</t>
  </si>
  <si>
    <t> 8</t>
  </si>
  <si>
    <t> 25.0/28.0</t>
  </si>
  <si>
    <t> 22,400/25,000</t>
  </si>
  <si>
    <t> 10</t>
  </si>
  <si>
    <t> 31.5/35.5</t>
  </si>
  <si>
    <t> 28,000/31,500</t>
  </si>
  <si>
    <t> 13</t>
  </si>
  <si>
    <t> 35.5/40.0</t>
  </si>
  <si>
    <t> 31,500/35,500</t>
  </si>
  <si>
    <t> 15</t>
  </si>
  <si>
    <t> 40.0/45.0</t>
  </si>
  <si>
    <t> 35,500/40,000</t>
  </si>
  <si>
    <t> 16</t>
  </si>
  <si>
    <t> 50.0/56.0</t>
  </si>
  <si>
    <t> 45,000/50,000</t>
  </si>
  <si>
    <t> 20</t>
  </si>
  <si>
    <t> 56.0/63.0</t>
  </si>
  <si>
    <t> 50,000/56,000</t>
  </si>
  <si>
    <t> 25</t>
  </si>
  <si>
    <t> 71.0/80.0</t>
  </si>
  <si>
    <t> 63,000/71,000</t>
  </si>
  <si>
    <t> 30</t>
  </si>
  <si>
    <t> 100/112</t>
  </si>
  <si>
    <t> 90,000/100,000</t>
  </si>
  <si>
    <t> 40</t>
  </si>
  <si>
    <t> 125/140</t>
  </si>
  <si>
    <t> 112,000/125,000</t>
  </si>
  <si>
    <t> 50</t>
  </si>
  <si>
    <t> 140/160</t>
  </si>
  <si>
    <t> 125,000/140,000</t>
  </si>
  <si>
    <t> 60</t>
  </si>
  <si>
    <t> 200/224</t>
  </si>
  <si>
    <t> 180,000/200,000</t>
  </si>
  <si>
    <t> 80</t>
  </si>
  <si>
    <t> 250/280</t>
  </si>
  <si>
    <t> 224,000/250,000</t>
  </si>
  <si>
    <t> 100</t>
  </si>
  <si>
    <t> 280/315</t>
  </si>
  <si>
    <t> 250,000/280,000</t>
  </si>
  <si>
    <t> 120</t>
  </si>
  <si>
    <t>水冷式冷暖房能力</t>
    <rPh sb="0" eb="3">
      <t>スイレイシキ</t>
    </rPh>
    <rPh sb="3" eb="6">
      <t>レイダンボウ</t>
    </rPh>
    <rPh sb="6" eb="8">
      <t>ノウリョク</t>
    </rPh>
    <phoneticPr fontId="8"/>
  </si>
  <si>
    <t>1.8/2.0</t>
  </si>
  <si>
    <t> 1,600/1,800</t>
  </si>
  <si>
    <t> 0.6</t>
  </si>
  <si>
    <t> 0.9</t>
  </si>
  <si>
    <t> 9.0/10.0</t>
  </si>
  <si>
    <t> 8,000/9,000</t>
  </si>
  <si>
    <t> 11.2/12.5</t>
  </si>
  <si>
    <t> 10,000/11,200</t>
  </si>
  <si>
    <t> 22.4/25.0</t>
  </si>
  <si>
    <t> 20,000/22,400</t>
  </si>
  <si>
    <t> 28.0/31.5</t>
  </si>
  <si>
    <t> 25,000/28,000</t>
  </si>
  <si>
    <t> 45.0/50.0</t>
  </si>
  <si>
    <t> 40,000/45,000</t>
  </si>
  <si>
    <t> 90.0/100</t>
  </si>
  <si>
    <t> 80,000/90,000</t>
  </si>
  <si>
    <t> 112/125</t>
  </si>
  <si>
    <t> 100,000/112,000</t>
  </si>
  <si>
    <t> 180/200</t>
  </si>
  <si>
    <t> 160,000/180,000</t>
  </si>
  <si>
    <t> 224/250</t>
  </si>
  <si>
    <t> 200,000/224,000</t>
  </si>
  <si>
    <t> 355/400</t>
  </si>
  <si>
    <t> 315,000/355,000</t>
  </si>
  <si>
    <t>パッケージエアコン</t>
    <phoneticPr fontId="8"/>
  </si>
  <si>
    <t>kW表示</t>
    <rPh sb="2" eb="4">
      <t>ヒョウジ</t>
    </rPh>
    <phoneticPr fontId="8"/>
  </si>
  <si>
    <t>kcal/h表示</t>
    <phoneticPr fontId="8"/>
  </si>
  <si>
    <t>馬力表示</t>
    <rPh sb="0" eb="2">
      <t>バリキ</t>
    </rPh>
    <phoneticPr fontId="8"/>
  </si>
  <si>
    <t>kW表示</t>
    <phoneticPr fontId="8"/>
  </si>
  <si>
    <t>●仕様書（例）</t>
    <rPh sb="1" eb="4">
      <t>シヨウショ</t>
    </rPh>
    <rPh sb="5" eb="6">
      <t>レイ</t>
    </rPh>
    <phoneticPr fontId="8"/>
  </si>
  <si>
    <t>能力単位</t>
    <rPh sb="0" eb="2">
      <t>ノウリョク</t>
    </rPh>
    <rPh sb="2" eb="4">
      <t>タンイ</t>
    </rPh>
    <phoneticPr fontId="8"/>
  </si>
  <si>
    <t>定格加熱能力/相当蒸発量</t>
    <rPh sb="0" eb="2">
      <t>テイカク</t>
    </rPh>
    <rPh sb="2" eb="4">
      <t>カネツ</t>
    </rPh>
    <rPh sb="4" eb="6">
      <t>ノウリョク</t>
    </rPh>
    <rPh sb="7" eb="9">
      <t>ソウトウ</t>
    </rPh>
    <rPh sb="9" eb="11">
      <t>ジョウハツ</t>
    </rPh>
    <rPh sb="11" eb="12">
      <t>リョウ</t>
    </rPh>
    <phoneticPr fontId="8"/>
  </si>
  <si>
    <t>t/h</t>
    <phoneticPr fontId="8"/>
  </si>
  <si>
    <t>MJ</t>
  </si>
  <si>
    <t>機種名</t>
    <rPh sb="0" eb="3">
      <t>キシュメイ</t>
    </rPh>
    <phoneticPr fontId="8"/>
  </si>
  <si>
    <t>電源</t>
    <rPh sb="0" eb="2">
      <t>デンゲン</t>
    </rPh>
    <phoneticPr fontId="8"/>
  </si>
  <si>
    <t>kW</t>
    <phoneticPr fontId="8"/>
  </si>
  <si>
    <t>%</t>
    <phoneticPr fontId="8"/>
  </si>
  <si>
    <t>出力（kW）</t>
    <rPh sb="0" eb="2">
      <t>シュツリョク</t>
    </rPh>
    <phoneticPr fontId="8"/>
  </si>
  <si>
    <t>4極</t>
    <phoneticPr fontId="8"/>
  </si>
  <si>
    <t>IE2</t>
  </si>
  <si>
    <t>定格能力の増減</t>
    <rPh sb="0" eb="2">
      <t>テイカク</t>
    </rPh>
    <rPh sb="2" eb="4">
      <t>ノウリョク</t>
    </rPh>
    <rPh sb="5" eb="7">
      <t>ゾウゲン</t>
    </rPh>
    <phoneticPr fontId="8"/>
  </si>
  <si>
    <t>定格出力の増減</t>
    <rPh sb="0" eb="2">
      <t>テイカク</t>
    </rPh>
    <rPh sb="2" eb="4">
      <t>シュツリョク</t>
    </rPh>
    <rPh sb="5" eb="7">
      <t>ゾウゲン</t>
    </rPh>
    <phoneticPr fontId="8"/>
  </si>
  <si>
    <t>項目</t>
    <rPh sb="0" eb="2">
      <t>コウモク</t>
    </rPh>
    <phoneticPr fontId="8"/>
  </si>
  <si>
    <t>項目</t>
    <rPh sb="0" eb="2">
      <t>コウモク</t>
    </rPh>
    <phoneticPr fontId="8"/>
  </si>
  <si>
    <t>能力の増減</t>
    <rPh sb="0" eb="2">
      <t>ノウリョク</t>
    </rPh>
    <rPh sb="3" eb="5">
      <t>ゾウゲン</t>
    </rPh>
    <phoneticPr fontId="8"/>
  </si>
  <si>
    <t>容量の増減</t>
    <rPh sb="0" eb="2">
      <t>ヨウリョウ</t>
    </rPh>
    <rPh sb="3" eb="5">
      <t>ゾウゲン</t>
    </rPh>
    <phoneticPr fontId="8"/>
  </si>
  <si>
    <t>※選択</t>
  </si>
  <si>
    <t>※選択</t>
    <rPh sb="1" eb="3">
      <t>センタク</t>
    </rPh>
    <phoneticPr fontId="8"/>
  </si>
  <si>
    <t>エネルギーの種類</t>
    <rPh sb="6" eb="8">
      <t>シュルイ</t>
    </rPh>
    <phoneticPr fontId="8"/>
  </si>
  <si>
    <t>kW</t>
  </si>
  <si>
    <t>特記事項</t>
    <rPh sb="0" eb="2">
      <t>トッキ</t>
    </rPh>
    <rPh sb="2" eb="4">
      <t>ジコウ</t>
    </rPh>
    <phoneticPr fontId="8"/>
  </si>
  <si>
    <t>ー</t>
  </si>
  <si>
    <t>導入年度</t>
    <rPh sb="0" eb="2">
      <t>ドウニュウ</t>
    </rPh>
    <rPh sb="2" eb="4">
      <t>ネンド</t>
    </rPh>
    <phoneticPr fontId="8"/>
  </si>
  <si>
    <t>設備種類</t>
    <rPh sb="0" eb="2">
      <t>セツビ</t>
    </rPh>
    <rPh sb="2" eb="4">
      <t>シュルイ</t>
    </rPh>
    <phoneticPr fontId="8"/>
  </si>
  <si>
    <t>給湯器（HP）</t>
  </si>
  <si>
    <t>ー</t>
    <phoneticPr fontId="8"/>
  </si>
  <si>
    <t>液化石油ガス（LPG）</t>
  </si>
  <si>
    <t>液化石油ガス（LPG）</t>
    <rPh sb="0" eb="2">
      <t>エキカ</t>
    </rPh>
    <rPh sb="2" eb="4">
      <t>セキユ</t>
    </rPh>
    <phoneticPr fontId="8"/>
  </si>
  <si>
    <t>コンプレッサーの更新</t>
    <phoneticPr fontId="8"/>
  </si>
  <si>
    <t>ボイラー・給湯器の更新</t>
    <rPh sb="5" eb="8">
      <t>キュウトウキ</t>
    </rPh>
    <phoneticPr fontId="8"/>
  </si>
  <si>
    <t>機種51</t>
    <rPh sb="0" eb="2">
      <t>キシュ</t>
    </rPh>
    <phoneticPr fontId="8"/>
  </si>
  <si>
    <t>機種52</t>
    <rPh sb="0" eb="2">
      <t>キシュ</t>
    </rPh>
    <phoneticPr fontId="8"/>
  </si>
  <si>
    <t>機種53</t>
    <rPh sb="0" eb="2">
      <t>キシュ</t>
    </rPh>
    <phoneticPr fontId="8"/>
  </si>
  <si>
    <t>機種54</t>
    <rPh sb="0" eb="2">
      <t>キシュ</t>
    </rPh>
    <phoneticPr fontId="8"/>
  </si>
  <si>
    <t>機種55</t>
    <rPh sb="0" eb="2">
      <t>キシュ</t>
    </rPh>
    <phoneticPr fontId="8"/>
  </si>
  <si>
    <t>機種56</t>
    <rPh sb="0" eb="2">
      <t>キシュ</t>
    </rPh>
    <phoneticPr fontId="8"/>
  </si>
  <si>
    <t>機種57</t>
    <rPh sb="0" eb="2">
      <t>キシュ</t>
    </rPh>
    <phoneticPr fontId="8"/>
  </si>
  <si>
    <t>機種58</t>
    <rPh sb="0" eb="2">
      <t>キシュ</t>
    </rPh>
    <phoneticPr fontId="8"/>
  </si>
  <si>
    <t>機種59</t>
    <rPh sb="0" eb="2">
      <t>キシュ</t>
    </rPh>
    <phoneticPr fontId="8"/>
  </si>
  <si>
    <t>機種60</t>
    <rPh sb="0" eb="2">
      <t>キシュ</t>
    </rPh>
    <phoneticPr fontId="8"/>
  </si>
  <si>
    <t>機種61</t>
    <rPh sb="0" eb="2">
      <t>キシュ</t>
    </rPh>
    <phoneticPr fontId="8"/>
  </si>
  <si>
    <t>機種62</t>
    <rPh sb="0" eb="2">
      <t>キシュ</t>
    </rPh>
    <phoneticPr fontId="8"/>
  </si>
  <si>
    <t>機種63</t>
    <rPh sb="0" eb="2">
      <t>キシュ</t>
    </rPh>
    <phoneticPr fontId="8"/>
  </si>
  <si>
    <t>機種64</t>
    <rPh sb="0" eb="2">
      <t>キシュ</t>
    </rPh>
    <phoneticPr fontId="8"/>
  </si>
  <si>
    <t>機種65</t>
    <rPh sb="0" eb="2">
      <t>キシュ</t>
    </rPh>
    <phoneticPr fontId="8"/>
  </si>
  <si>
    <t>機種66</t>
    <rPh sb="0" eb="2">
      <t>キシュ</t>
    </rPh>
    <phoneticPr fontId="8"/>
  </si>
  <si>
    <t>機種67</t>
    <rPh sb="0" eb="2">
      <t>キシュ</t>
    </rPh>
    <phoneticPr fontId="8"/>
  </si>
  <si>
    <t>機種68</t>
    <rPh sb="0" eb="2">
      <t>キシュ</t>
    </rPh>
    <phoneticPr fontId="8"/>
  </si>
  <si>
    <t>機種69</t>
    <rPh sb="0" eb="2">
      <t>キシュ</t>
    </rPh>
    <phoneticPr fontId="8"/>
  </si>
  <si>
    <t>機種70</t>
    <rPh sb="0" eb="2">
      <t>キシュ</t>
    </rPh>
    <phoneticPr fontId="8"/>
  </si>
  <si>
    <t>機種71</t>
    <rPh sb="0" eb="2">
      <t>キシュ</t>
    </rPh>
    <phoneticPr fontId="8"/>
  </si>
  <si>
    <t>機種72</t>
    <rPh sb="0" eb="2">
      <t>キシュ</t>
    </rPh>
    <phoneticPr fontId="8"/>
  </si>
  <si>
    <t>機種73</t>
    <rPh sb="0" eb="2">
      <t>キシュ</t>
    </rPh>
    <phoneticPr fontId="8"/>
  </si>
  <si>
    <t>機種74</t>
    <rPh sb="0" eb="2">
      <t>キシュ</t>
    </rPh>
    <phoneticPr fontId="8"/>
  </si>
  <si>
    <t>機種75</t>
    <rPh sb="0" eb="2">
      <t>キシュ</t>
    </rPh>
    <phoneticPr fontId="8"/>
  </si>
  <si>
    <t>機種76</t>
    <rPh sb="0" eb="2">
      <t>キシュ</t>
    </rPh>
    <phoneticPr fontId="8"/>
  </si>
  <si>
    <t>機種77</t>
    <rPh sb="0" eb="2">
      <t>キシュ</t>
    </rPh>
    <phoneticPr fontId="8"/>
  </si>
  <si>
    <t>機種78</t>
    <rPh sb="0" eb="2">
      <t>キシュ</t>
    </rPh>
    <phoneticPr fontId="8"/>
  </si>
  <si>
    <t>機種79</t>
    <rPh sb="0" eb="2">
      <t>キシュ</t>
    </rPh>
    <phoneticPr fontId="8"/>
  </si>
  <si>
    <t>機種80</t>
    <rPh sb="0" eb="2">
      <t>キシュ</t>
    </rPh>
    <phoneticPr fontId="8"/>
  </si>
  <si>
    <t>機種81</t>
    <rPh sb="0" eb="2">
      <t>キシュ</t>
    </rPh>
    <phoneticPr fontId="8"/>
  </si>
  <si>
    <t>機種82</t>
    <rPh sb="0" eb="2">
      <t>キシュ</t>
    </rPh>
    <phoneticPr fontId="8"/>
  </si>
  <si>
    <t>機種83</t>
    <rPh sb="0" eb="2">
      <t>キシュ</t>
    </rPh>
    <phoneticPr fontId="8"/>
  </si>
  <si>
    <t>機種84</t>
    <rPh sb="0" eb="2">
      <t>キシュ</t>
    </rPh>
    <phoneticPr fontId="8"/>
  </si>
  <si>
    <t>機種85</t>
    <rPh sb="0" eb="2">
      <t>キシュ</t>
    </rPh>
    <phoneticPr fontId="8"/>
  </si>
  <si>
    <t>機種86</t>
    <rPh sb="0" eb="2">
      <t>キシュ</t>
    </rPh>
    <phoneticPr fontId="8"/>
  </si>
  <si>
    <t>機種87</t>
    <rPh sb="0" eb="2">
      <t>キシュ</t>
    </rPh>
    <phoneticPr fontId="8"/>
  </si>
  <si>
    <t>機種88</t>
    <rPh sb="0" eb="2">
      <t>キシュ</t>
    </rPh>
    <phoneticPr fontId="8"/>
  </si>
  <si>
    <t>機種89</t>
    <rPh sb="0" eb="2">
      <t>キシュ</t>
    </rPh>
    <phoneticPr fontId="8"/>
  </si>
  <si>
    <t>機種90</t>
    <rPh sb="0" eb="2">
      <t>キシュ</t>
    </rPh>
    <phoneticPr fontId="8"/>
  </si>
  <si>
    <t>機種91</t>
    <rPh sb="0" eb="2">
      <t>キシュ</t>
    </rPh>
    <phoneticPr fontId="8"/>
  </si>
  <si>
    <t>機種92</t>
    <rPh sb="0" eb="2">
      <t>キシュ</t>
    </rPh>
    <phoneticPr fontId="8"/>
  </si>
  <si>
    <t>機種93</t>
    <rPh sb="0" eb="2">
      <t>キシュ</t>
    </rPh>
    <phoneticPr fontId="8"/>
  </si>
  <si>
    <t>機種94</t>
    <rPh sb="0" eb="2">
      <t>キシュ</t>
    </rPh>
    <phoneticPr fontId="8"/>
  </si>
  <si>
    <t>機種95</t>
    <rPh sb="0" eb="2">
      <t>キシュ</t>
    </rPh>
    <phoneticPr fontId="8"/>
  </si>
  <si>
    <t>機種96</t>
    <rPh sb="0" eb="2">
      <t>キシュ</t>
    </rPh>
    <phoneticPr fontId="8"/>
  </si>
  <si>
    <t>機種97</t>
    <rPh sb="0" eb="2">
      <t>キシュ</t>
    </rPh>
    <phoneticPr fontId="8"/>
  </si>
  <si>
    <t>機種98</t>
    <rPh sb="0" eb="2">
      <t>キシュ</t>
    </rPh>
    <phoneticPr fontId="8"/>
  </si>
  <si>
    <t>機種99</t>
    <rPh sb="0" eb="2">
      <t>キシュ</t>
    </rPh>
    <phoneticPr fontId="8"/>
  </si>
  <si>
    <t>機種100</t>
    <rPh sb="0" eb="2">
      <t>キシュ</t>
    </rPh>
    <phoneticPr fontId="8"/>
  </si>
  <si>
    <t>機種101</t>
    <rPh sb="0" eb="2">
      <t>キシュ</t>
    </rPh>
    <phoneticPr fontId="8"/>
  </si>
  <si>
    <t>機種102</t>
    <rPh sb="0" eb="2">
      <t>キシュ</t>
    </rPh>
    <phoneticPr fontId="8"/>
  </si>
  <si>
    <t>機種103</t>
    <rPh sb="0" eb="2">
      <t>キシュ</t>
    </rPh>
    <phoneticPr fontId="8"/>
  </si>
  <si>
    <t>機種104</t>
    <rPh sb="0" eb="2">
      <t>キシュ</t>
    </rPh>
    <phoneticPr fontId="8"/>
  </si>
  <si>
    <t>機種105</t>
    <rPh sb="0" eb="2">
      <t>キシュ</t>
    </rPh>
    <phoneticPr fontId="8"/>
  </si>
  <si>
    <t>機種106</t>
    <rPh sb="0" eb="2">
      <t>キシュ</t>
    </rPh>
    <phoneticPr fontId="8"/>
  </si>
  <si>
    <t>機種107</t>
    <rPh sb="0" eb="2">
      <t>キシュ</t>
    </rPh>
    <phoneticPr fontId="8"/>
  </si>
  <si>
    <t>機種108</t>
    <rPh sb="0" eb="2">
      <t>キシュ</t>
    </rPh>
    <phoneticPr fontId="8"/>
  </si>
  <si>
    <t>機種109</t>
    <rPh sb="0" eb="2">
      <t>キシュ</t>
    </rPh>
    <phoneticPr fontId="8"/>
  </si>
  <si>
    <t>機種110</t>
    <rPh sb="0" eb="2">
      <t>キシュ</t>
    </rPh>
    <phoneticPr fontId="8"/>
  </si>
  <si>
    <t>機種111</t>
    <rPh sb="0" eb="2">
      <t>キシュ</t>
    </rPh>
    <phoneticPr fontId="8"/>
  </si>
  <si>
    <t>機種112</t>
    <rPh sb="0" eb="2">
      <t>キシュ</t>
    </rPh>
    <phoneticPr fontId="8"/>
  </si>
  <si>
    <t>機種113</t>
    <rPh sb="0" eb="2">
      <t>キシュ</t>
    </rPh>
    <phoneticPr fontId="8"/>
  </si>
  <si>
    <t>機種114</t>
    <rPh sb="0" eb="2">
      <t>キシュ</t>
    </rPh>
    <phoneticPr fontId="8"/>
  </si>
  <si>
    <t>機種115</t>
    <rPh sb="0" eb="2">
      <t>キシュ</t>
    </rPh>
    <phoneticPr fontId="8"/>
  </si>
  <si>
    <t>機種116</t>
    <rPh sb="0" eb="2">
      <t>キシュ</t>
    </rPh>
    <phoneticPr fontId="8"/>
  </si>
  <si>
    <t>機種117</t>
    <rPh sb="0" eb="2">
      <t>キシュ</t>
    </rPh>
    <phoneticPr fontId="8"/>
  </si>
  <si>
    <t>機種118</t>
    <rPh sb="0" eb="2">
      <t>キシュ</t>
    </rPh>
    <phoneticPr fontId="8"/>
  </si>
  <si>
    <t>機種119</t>
    <rPh sb="0" eb="2">
      <t>キシュ</t>
    </rPh>
    <phoneticPr fontId="8"/>
  </si>
  <si>
    <t>機種120</t>
    <rPh sb="0" eb="2">
      <t>キシュ</t>
    </rPh>
    <phoneticPr fontId="8"/>
  </si>
  <si>
    <t>機種121</t>
    <rPh sb="0" eb="2">
      <t>キシュ</t>
    </rPh>
    <phoneticPr fontId="8"/>
  </si>
  <si>
    <t>機種122</t>
    <rPh sb="0" eb="2">
      <t>キシュ</t>
    </rPh>
    <phoneticPr fontId="8"/>
  </si>
  <si>
    <t>機種123</t>
    <rPh sb="0" eb="2">
      <t>キシュ</t>
    </rPh>
    <phoneticPr fontId="8"/>
  </si>
  <si>
    <t>機種124</t>
    <rPh sb="0" eb="2">
      <t>キシュ</t>
    </rPh>
    <phoneticPr fontId="8"/>
  </si>
  <si>
    <t>機種125</t>
    <rPh sb="0" eb="2">
      <t>キシュ</t>
    </rPh>
    <phoneticPr fontId="8"/>
  </si>
  <si>
    <t>機種126</t>
    <rPh sb="0" eb="2">
      <t>キシュ</t>
    </rPh>
    <phoneticPr fontId="8"/>
  </si>
  <si>
    <t>機種127</t>
    <rPh sb="0" eb="2">
      <t>キシュ</t>
    </rPh>
    <phoneticPr fontId="8"/>
  </si>
  <si>
    <t>機種128</t>
    <rPh sb="0" eb="2">
      <t>キシュ</t>
    </rPh>
    <phoneticPr fontId="8"/>
  </si>
  <si>
    <t>機種129</t>
    <rPh sb="0" eb="2">
      <t>キシュ</t>
    </rPh>
    <phoneticPr fontId="8"/>
  </si>
  <si>
    <t>機種130</t>
    <rPh sb="0" eb="2">
      <t>キシュ</t>
    </rPh>
    <phoneticPr fontId="8"/>
  </si>
  <si>
    <t>機種131</t>
    <rPh sb="0" eb="2">
      <t>キシュ</t>
    </rPh>
    <phoneticPr fontId="8"/>
  </si>
  <si>
    <t>機種132</t>
    <rPh sb="0" eb="2">
      <t>キシュ</t>
    </rPh>
    <phoneticPr fontId="8"/>
  </si>
  <si>
    <t>機種133</t>
    <rPh sb="0" eb="2">
      <t>キシュ</t>
    </rPh>
    <phoneticPr fontId="8"/>
  </si>
  <si>
    <t>機種134</t>
    <rPh sb="0" eb="2">
      <t>キシュ</t>
    </rPh>
    <phoneticPr fontId="8"/>
  </si>
  <si>
    <t>機種135</t>
    <rPh sb="0" eb="2">
      <t>キシュ</t>
    </rPh>
    <phoneticPr fontId="8"/>
  </si>
  <si>
    <t>機種136</t>
    <rPh sb="0" eb="2">
      <t>キシュ</t>
    </rPh>
    <phoneticPr fontId="8"/>
  </si>
  <si>
    <t>機種137</t>
    <rPh sb="0" eb="2">
      <t>キシュ</t>
    </rPh>
    <phoneticPr fontId="8"/>
  </si>
  <si>
    <t>機種138</t>
    <rPh sb="0" eb="2">
      <t>キシュ</t>
    </rPh>
    <phoneticPr fontId="8"/>
  </si>
  <si>
    <t>機種139</t>
    <rPh sb="0" eb="2">
      <t>キシュ</t>
    </rPh>
    <phoneticPr fontId="8"/>
  </si>
  <si>
    <t>機種140</t>
    <rPh sb="0" eb="2">
      <t>キシュ</t>
    </rPh>
    <phoneticPr fontId="8"/>
  </si>
  <si>
    <t>機種141</t>
    <rPh sb="0" eb="2">
      <t>キシュ</t>
    </rPh>
    <phoneticPr fontId="8"/>
  </si>
  <si>
    <t>機種142</t>
    <rPh sb="0" eb="2">
      <t>キシュ</t>
    </rPh>
    <phoneticPr fontId="8"/>
  </si>
  <si>
    <t>機種143</t>
    <rPh sb="0" eb="2">
      <t>キシュ</t>
    </rPh>
    <phoneticPr fontId="8"/>
  </si>
  <si>
    <t>機種144</t>
    <rPh sb="0" eb="2">
      <t>キシュ</t>
    </rPh>
    <phoneticPr fontId="8"/>
  </si>
  <si>
    <t>機種145</t>
    <rPh sb="0" eb="2">
      <t>キシュ</t>
    </rPh>
    <phoneticPr fontId="8"/>
  </si>
  <si>
    <t>機種146</t>
    <rPh sb="0" eb="2">
      <t>キシュ</t>
    </rPh>
    <phoneticPr fontId="8"/>
  </si>
  <si>
    <t>機種147</t>
    <rPh sb="0" eb="2">
      <t>キシュ</t>
    </rPh>
    <phoneticPr fontId="8"/>
  </si>
  <si>
    <t>機種148</t>
    <rPh sb="0" eb="2">
      <t>キシュ</t>
    </rPh>
    <phoneticPr fontId="8"/>
  </si>
  <si>
    <t>機種149</t>
    <rPh sb="0" eb="2">
      <t>キシュ</t>
    </rPh>
    <phoneticPr fontId="8"/>
  </si>
  <si>
    <t>機種150</t>
    <rPh sb="0" eb="2">
      <t>キシュ</t>
    </rPh>
    <phoneticPr fontId="8"/>
  </si>
  <si>
    <t>機種151</t>
    <rPh sb="0" eb="2">
      <t>キシュ</t>
    </rPh>
    <phoneticPr fontId="8"/>
  </si>
  <si>
    <t>機種152</t>
    <rPh sb="0" eb="2">
      <t>キシュ</t>
    </rPh>
    <phoneticPr fontId="8"/>
  </si>
  <si>
    <t>機種153</t>
    <rPh sb="0" eb="2">
      <t>キシュ</t>
    </rPh>
    <phoneticPr fontId="8"/>
  </si>
  <si>
    <t>機種154</t>
    <rPh sb="0" eb="2">
      <t>キシュ</t>
    </rPh>
    <phoneticPr fontId="8"/>
  </si>
  <si>
    <t>機種155</t>
    <rPh sb="0" eb="2">
      <t>キシュ</t>
    </rPh>
    <phoneticPr fontId="8"/>
  </si>
  <si>
    <t>機種156</t>
    <rPh sb="0" eb="2">
      <t>キシュ</t>
    </rPh>
    <phoneticPr fontId="8"/>
  </si>
  <si>
    <t>機種157</t>
    <rPh sb="0" eb="2">
      <t>キシュ</t>
    </rPh>
    <phoneticPr fontId="8"/>
  </si>
  <si>
    <t>機種158</t>
    <rPh sb="0" eb="2">
      <t>キシュ</t>
    </rPh>
    <phoneticPr fontId="8"/>
  </si>
  <si>
    <t>機種159</t>
    <rPh sb="0" eb="2">
      <t>キシュ</t>
    </rPh>
    <phoneticPr fontId="8"/>
  </si>
  <si>
    <t>機種160</t>
    <rPh sb="0" eb="2">
      <t>キシュ</t>
    </rPh>
    <phoneticPr fontId="8"/>
  </si>
  <si>
    <t>機種161</t>
    <rPh sb="0" eb="2">
      <t>キシュ</t>
    </rPh>
    <phoneticPr fontId="8"/>
  </si>
  <si>
    <t>機種162</t>
    <rPh sb="0" eb="2">
      <t>キシュ</t>
    </rPh>
    <phoneticPr fontId="8"/>
  </si>
  <si>
    <t>機種163</t>
    <rPh sb="0" eb="2">
      <t>キシュ</t>
    </rPh>
    <phoneticPr fontId="8"/>
  </si>
  <si>
    <t>機種164</t>
    <rPh sb="0" eb="2">
      <t>キシュ</t>
    </rPh>
    <phoneticPr fontId="8"/>
  </si>
  <si>
    <t>機種165</t>
    <rPh sb="0" eb="2">
      <t>キシュ</t>
    </rPh>
    <phoneticPr fontId="8"/>
  </si>
  <si>
    <t>機種166</t>
    <rPh sb="0" eb="2">
      <t>キシュ</t>
    </rPh>
    <phoneticPr fontId="8"/>
  </si>
  <si>
    <t>機種167</t>
    <rPh sb="0" eb="2">
      <t>キシュ</t>
    </rPh>
    <phoneticPr fontId="8"/>
  </si>
  <si>
    <t>機種168</t>
    <rPh sb="0" eb="2">
      <t>キシュ</t>
    </rPh>
    <phoneticPr fontId="8"/>
  </si>
  <si>
    <t>機種169</t>
    <rPh sb="0" eb="2">
      <t>キシュ</t>
    </rPh>
    <phoneticPr fontId="8"/>
  </si>
  <si>
    <t>機種170</t>
    <rPh sb="0" eb="2">
      <t>キシュ</t>
    </rPh>
    <phoneticPr fontId="8"/>
  </si>
  <si>
    <t>機種171</t>
    <rPh sb="0" eb="2">
      <t>キシュ</t>
    </rPh>
    <phoneticPr fontId="8"/>
  </si>
  <si>
    <t>機種172</t>
    <rPh sb="0" eb="2">
      <t>キシュ</t>
    </rPh>
    <phoneticPr fontId="8"/>
  </si>
  <si>
    <t>機種173</t>
    <rPh sb="0" eb="2">
      <t>キシュ</t>
    </rPh>
    <phoneticPr fontId="8"/>
  </si>
  <si>
    <t>機種174</t>
    <rPh sb="0" eb="2">
      <t>キシュ</t>
    </rPh>
    <phoneticPr fontId="8"/>
  </si>
  <si>
    <t>機種175</t>
    <rPh sb="0" eb="2">
      <t>キシュ</t>
    </rPh>
    <phoneticPr fontId="8"/>
  </si>
  <si>
    <t>機種176</t>
    <rPh sb="0" eb="2">
      <t>キシュ</t>
    </rPh>
    <phoneticPr fontId="8"/>
  </si>
  <si>
    <t>機種177</t>
    <rPh sb="0" eb="2">
      <t>キシュ</t>
    </rPh>
    <phoneticPr fontId="8"/>
  </si>
  <si>
    <t>機種178</t>
    <rPh sb="0" eb="2">
      <t>キシュ</t>
    </rPh>
    <phoneticPr fontId="8"/>
  </si>
  <si>
    <t>機種179</t>
    <rPh sb="0" eb="2">
      <t>キシュ</t>
    </rPh>
    <phoneticPr fontId="8"/>
  </si>
  <si>
    <t>機種180</t>
    <rPh sb="0" eb="2">
      <t>キシュ</t>
    </rPh>
    <phoneticPr fontId="8"/>
  </si>
  <si>
    <t>機種181</t>
    <rPh sb="0" eb="2">
      <t>キシュ</t>
    </rPh>
    <phoneticPr fontId="8"/>
  </si>
  <si>
    <t>機種182</t>
    <rPh sb="0" eb="2">
      <t>キシュ</t>
    </rPh>
    <phoneticPr fontId="8"/>
  </si>
  <si>
    <t>機種183</t>
    <rPh sb="0" eb="2">
      <t>キシュ</t>
    </rPh>
    <phoneticPr fontId="8"/>
  </si>
  <si>
    <t>機種184</t>
    <rPh sb="0" eb="2">
      <t>キシュ</t>
    </rPh>
    <phoneticPr fontId="8"/>
  </si>
  <si>
    <t>機種185</t>
    <rPh sb="0" eb="2">
      <t>キシュ</t>
    </rPh>
    <phoneticPr fontId="8"/>
  </si>
  <si>
    <t>機種186</t>
    <rPh sb="0" eb="2">
      <t>キシュ</t>
    </rPh>
    <phoneticPr fontId="8"/>
  </si>
  <si>
    <t>機種187</t>
    <rPh sb="0" eb="2">
      <t>キシュ</t>
    </rPh>
    <phoneticPr fontId="8"/>
  </si>
  <si>
    <t>機種188</t>
    <rPh sb="0" eb="2">
      <t>キシュ</t>
    </rPh>
    <phoneticPr fontId="8"/>
  </si>
  <si>
    <t>機種189</t>
    <rPh sb="0" eb="2">
      <t>キシュ</t>
    </rPh>
    <phoneticPr fontId="8"/>
  </si>
  <si>
    <t>機種190</t>
    <rPh sb="0" eb="2">
      <t>キシュ</t>
    </rPh>
    <phoneticPr fontId="8"/>
  </si>
  <si>
    <t>機種191</t>
    <rPh sb="0" eb="2">
      <t>キシュ</t>
    </rPh>
    <phoneticPr fontId="8"/>
  </si>
  <si>
    <t>機種192</t>
    <rPh sb="0" eb="2">
      <t>キシュ</t>
    </rPh>
    <phoneticPr fontId="8"/>
  </si>
  <si>
    <t>機種193</t>
    <rPh sb="0" eb="2">
      <t>キシュ</t>
    </rPh>
    <phoneticPr fontId="8"/>
  </si>
  <si>
    <t>機種194</t>
    <rPh sb="0" eb="2">
      <t>キシュ</t>
    </rPh>
    <phoneticPr fontId="8"/>
  </si>
  <si>
    <t>機種195</t>
    <rPh sb="0" eb="2">
      <t>キシュ</t>
    </rPh>
    <phoneticPr fontId="8"/>
  </si>
  <si>
    <t>機種196</t>
    <rPh sb="0" eb="2">
      <t>キシュ</t>
    </rPh>
    <phoneticPr fontId="8"/>
  </si>
  <si>
    <t>機種197</t>
    <rPh sb="0" eb="2">
      <t>キシュ</t>
    </rPh>
    <phoneticPr fontId="8"/>
  </si>
  <si>
    <t>機種198</t>
    <rPh sb="0" eb="2">
      <t>キシュ</t>
    </rPh>
    <phoneticPr fontId="8"/>
  </si>
  <si>
    <t>機種199</t>
    <rPh sb="0" eb="2">
      <t>キシュ</t>
    </rPh>
    <phoneticPr fontId="8"/>
  </si>
  <si>
    <t>機種200</t>
    <rPh sb="0" eb="2">
      <t>キシュ</t>
    </rPh>
    <phoneticPr fontId="8"/>
  </si>
  <si>
    <t>機種201</t>
    <rPh sb="0" eb="2">
      <t>キシュ</t>
    </rPh>
    <phoneticPr fontId="8"/>
  </si>
  <si>
    <t>機種202</t>
    <rPh sb="0" eb="2">
      <t>キシュ</t>
    </rPh>
    <phoneticPr fontId="8"/>
  </si>
  <si>
    <t>機種203</t>
    <rPh sb="0" eb="2">
      <t>キシュ</t>
    </rPh>
    <phoneticPr fontId="8"/>
  </si>
  <si>
    <t>機種204</t>
    <rPh sb="0" eb="2">
      <t>キシュ</t>
    </rPh>
    <phoneticPr fontId="8"/>
  </si>
  <si>
    <t>機種205</t>
    <rPh sb="0" eb="2">
      <t>キシュ</t>
    </rPh>
    <phoneticPr fontId="8"/>
  </si>
  <si>
    <t>機種206</t>
    <rPh sb="0" eb="2">
      <t>キシュ</t>
    </rPh>
    <phoneticPr fontId="8"/>
  </si>
  <si>
    <t>機種207</t>
    <rPh sb="0" eb="2">
      <t>キシュ</t>
    </rPh>
    <phoneticPr fontId="8"/>
  </si>
  <si>
    <t>機種208</t>
    <rPh sb="0" eb="2">
      <t>キシュ</t>
    </rPh>
    <phoneticPr fontId="8"/>
  </si>
  <si>
    <t>機種209</t>
    <rPh sb="0" eb="2">
      <t>キシュ</t>
    </rPh>
    <phoneticPr fontId="8"/>
  </si>
  <si>
    <t>機種210</t>
    <rPh sb="0" eb="2">
      <t>キシュ</t>
    </rPh>
    <phoneticPr fontId="8"/>
  </si>
  <si>
    <t>機種211</t>
    <rPh sb="0" eb="2">
      <t>キシュ</t>
    </rPh>
    <phoneticPr fontId="8"/>
  </si>
  <si>
    <t>機種212</t>
    <rPh sb="0" eb="2">
      <t>キシュ</t>
    </rPh>
    <phoneticPr fontId="8"/>
  </si>
  <si>
    <t>機種213</t>
    <rPh sb="0" eb="2">
      <t>キシュ</t>
    </rPh>
    <phoneticPr fontId="8"/>
  </si>
  <si>
    <t>機種214</t>
    <rPh sb="0" eb="2">
      <t>キシュ</t>
    </rPh>
    <phoneticPr fontId="8"/>
  </si>
  <si>
    <t>機種215</t>
    <rPh sb="0" eb="2">
      <t>キシュ</t>
    </rPh>
    <phoneticPr fontId="8"/>
  </si>
  <si>
    <t>機種216</t>
    <rPh sb="0" eb="2">
      <t>キシュ</t>
    </rPh>
    <phoneticPr fontId="8"/>
  </si>
  <si>
    <t>機種217</t>
    <rPh sb="0" eb="2">
      <t>キシュ</t>
    </rPh>
    <phoneticPr fontId="8"/>
  </si>
  <si>
    <t>機種218</t>
    <rPh sb="0" eb="2">
      <t>キシュ</t>
    </rPh>
    <phoneticPr fontId="8"/>
  </si>
  <si>
    <t>機種219</t>
    <rPh sb="0" eb="2">
      <t>キシュ</t>
    </rPh>
    <phoneticPr fontId="8"/>
  </si>
  <si>
    <t>機種220</t>
    <rPh sb="0" eb="2">
      <t>キシュ</t>
    </rPh>
    <phoneticPr fontId="8"/>
  </si>
  <si>
    <t>機種221</t>
    <rPh sb="0" eb="2">
      <t>キシュ</t>
    </rPh>
    <phoneticPr fontId="8"/>
  </si>
  <si>
    <t>機種222</t>
    <rPh sb="0" eb="2">
      <t>キシュ</t>
    </rPh>
    <phoneticPr fontId="8"/>
  </si>
  <si>
    <t>機種223</t>
    <rPh sb="0" eb="2">
      <t>キシュ</t>
    </rPh>
    <phoneticPr fontId="8"/>
  </si>
  <si>
    <t>機種224</t>
    <rPh sb="0" eb="2">
      <t>キシュ</t>
    </rPh>
    <phoneticPr fontId="8"/>
  </si>
  <si>
    <t>機種225</t>
    <rPh sb="0" eb="2">
      <t>キシュ</t>
    </rPh>
    <phoneticPr fontId="8"/>
  </si>
  <si>
    <t>機種226</t>
    <rPh sb="0" eb="2">
      <t>キシュ</t>
    </rPh>
    <phoneticPr fontId="8"/>
  </si>
  <si>
    <t>機種227</t>
    <rPh sb="0" eb="2">
      <t>キシュ</t>
    </rPh>
    <phoneticPr fontId="8"/>
  </si>
  <si>
    <t>機種228</t>
    <rPh sb="0" eb="2">
      <t>キシュ</t>
    </rPh>
    <phoneticPr fontId="8"/>
  </si>
  <si>
    <t>機種229</t>
    <rPh sb="0" eb="2">
      <t>キシュ</t>
    </rPh>
    <phoneticPr fontId="8"/>
  </si>
  <si>
    <t>機種230</t>
    <rPh sb="0" eb="2">
      <t>キシュ</t>
    </rPh>
    <phoneticPr fontId="8"/>
  </si>
  <si>
    <t>機種231</t>
    <rPh sb="0" eb="2">
      <t>キシュ</t>
    </rPh>
    <phoneticPr fontId="8"/>
  </si>
  <si>
    <t>機種232</t>
    <rPh sb="0" eb="2">
      <t>キシュ</t>
    </rPh>
    <phoneticPr fontId="8"/>
  </si>
  <si>
    <t>機種233</t>
    <rPh sb="0" eb="2">
      <t>キシュ</t>
    </rPh>
    <phoneticPr fontId="8"/>
  </si>
  <si>
    <t>機種234</t>
    <rPh sb="0" eb="2">
      <t>キシュ</t>
    </rPh>
    <phoneticPr fontId="8"/>
  </si>
  <si>
    <t>機種235</t>
    <rPh sb="0" eb="2">
      <t>キシュ</t>
    </rPh>
    <phoneticPr fontId="8"/>
  </si>
  <si>
    <t>機種236</t>
    <rPh sb="0" eb="2">
      <t>キシュ</t>
    </rPh>
    <phoneticPr fontId="8"/>
  </si>
  <si>
    <t>機種237</t>
    <rPh sb="0" eb="2">
      <t>キシュ</t>
    </rPh>
    <phoneticPr fontId="8"/>
  </si>
  <si>
    <t>機種238</t>
    <rPh sb="0" eb="2">
      <t>キシュ</t>
    </rPh>
    <phoneticPr fontId="8"/>
  </si>
  <si>
    <t>機種239</t>
    <rPh sb="0" eb="2">
      <t>キシュ</t>
    </rPh>
    <phoneticPr fontId="8"/>
  </si>
  <si>
    <t>機種240</t>
    <rPh sb="0" eb="2">
      <t>キシュ</t>
    </rPh>
    <phoneticPr fontId="8"/>
  </si>
  <si>
    <t>機種241</t>
    <rPh sb="0" eb="2">
      <t>キシュ</t>
    </rPh>
    <phoneticPr fontId="8"/>
  </si>
  <si>
    <t>機種242</t>
    <rPh sb="0" eb="2">
      <t>キシュ</t>
    </rPh>
    <phoneticPr fontId="8"/>
  </si>
  <si>
    <t>機種243</t>
    <rPh sb="0" eb="2">
      <t>キシュ</t>
    </rPh>
    <phoneticPr fontId="8"/>
  </si>
  <si>
    <t>機種244</t>
    <rPh sb="0" eb="2">
      <t>キシュ</t>
    </rPh>
    <phoneticPr fontId="8"/>
  </si>
  <si>
    <t>機種245</t>
    <rPh sb="0" eb="2">
      <t>キシュ</t>
    </rPh>
    <phoneticPr fontId="8"/>
  </si>
  <si>
    <t>機種246</t>
    <rPh sb="0" eb="2">
      <t>キシュ</t>
    </rPh>
    <phoneticPr fontId="8"/>
  </si>
  <si>
    <t>機種247</t>
    <rPh sb="0" eb="2">
      <t>キシュ</t>
    </rPh>
    <phoneticPr fontId="8"/>
  </si>
  <si>
    <t>機種248</t>
    <rPh sb="0" eb="2">
      <t>キシュ</t>
    </rPh>
    <phoneticPr fontId="8"/>
  </si>
  <si>
    <t>機種249</t>
    <rPh sb="0" eb="2">
      <t>キシュ</t>
    </rPh>
    <phoneticPr fontId="8"/>
  </si>
  <si>
    <t>機種250</t>
    <rPh sb="0" eb="2">
      <t>キシュ</t>
    </rPh>
    <phoneticPr fontId="8"/>
  </si>
  <si>
    <t>機種251</t>
    <rPh sb="0" eb="2">
      <t>キシュ</t>
    </rPh>
    <phoneticPr fontId="8"/>
  </si>
  <si>
    <t>機種252</t>
    <rPh sb="0" eb="2">
      <t>キシュ</t>
    </rPh>
    <phoneticPr fontId="8"/>
  </si>
  <si>
    <t>機種253</t>
    <rPh sb="0" eb="2">
      <t>キシュ</t>
    </rPh>
    <phoneticPr fontId="8"/>
  </si>
  <si>
    <t>機種254</t>
    <rPh sb="0" eb="2">
      <t>キシュ</t>
    </rPh>
    <phoneticPr fontId="8"/>
  </si>
  <si>
    <t>機種255</t>
    <rPh sb="0" eb="2">
      <t>キシュ</t>
    </rPh>
    <phoneticPr fontId="8"/>
  </si>
  <si>
    <t>機種256</t>
    <rPh sb="0" eb="2">
      <t>キシュ</t>
    </rPh>
    <phoneticPr fontId="8"/>
  </si>
  <si>
    <t>機種257</t>
    <rPh sb="0" eb="2">
      <t>キシュ</t>
    </rPh>
    <phoneticPr fontId="8"/>
  </si>
  <si>
    <t>機種258</t>
    <rPh sb="0" eb="2">
      <t>キシュ</t>
    </rPh>
    <phoneticPr fontId="8"/>
  </si>
  <si>
    <t>機種259</t>
    <rPh sb="0" eb="2">
      <t>キシュ</t>
    </rPh>
    <phoneticPr fontId="8"/>
  </si>
  <si>
    <t>機種260</t>
    <rPh sb="0" eb="2">
      <t>キシュ</t>
    </rPh>
    <phoneticPr fontId="8"/>
  </si>
  <si>
    <t>機種261</t>
    <rPh sb="0" eb="2">
      <t>キシュ</t>
    </rPh>
    <phoneticPr fontId="8"/>
  </si>
  <si>
    <t>機種262</t>
    <rPh sb="0" eb="2">
      <t>キシュ</t>
    </rPh>
    <phoneticPr fontId="8"/>
  </si>
  <si>
    <t>機種263</t>
    <rPh sb="0" eb="2">
      <t>キシュ</t>
    </rPh>
    <phoneticPr fontId="8"/>
  </si>
  <si>
    <t>機種264</t>
    <rPh sb="0" eb="2">
      <t>キシュ</t>
    </rPh>
    <phoneticPr fontId="8"/>
  </si>
  <si>
    <t>機種265</t>
    <rPh sb="0" eb="2">
      <t>キシュ</t>
    </rPh>
    <phoneticPr fontId="8"/>
  </si>
  <si>
    <t>機種266</t>
    <rPh sb="0" eb="2">
      <t>キシュ</t>
    </rPh>
    <phoneticPr fontId="8"/>
  </si>
  <si>
    <t>機種267</t>
    <rPh sb="0" eb="2">
      <t>キシュ</t>
    </rPh>
    <phoneticPr fontId="8"/>
  </si>
  <si>
    <t>機種268</t>
    <rPh sb="0" eb="2">
      <t>キシュ</t>
    </rPh>
    <phoneticPr fontId="8"/>
  </si>
  <si>
    <t>機種269</t>
    <rPh sb="0" eb="2">
      <t>キシュ</t>
    </rPh>
    <phoneticPr fontId="8"/>
  </si>
  <si>
    <t>機種270</t>
    <rPh sb="0" eb="2">
      <t>キシュ</t>
    </rPh>
    <phoneticPr fontId="8"/>
  </si>
  <si>
    <t>機種271</t>
    <rPh sb="0" eb="2">
      <t>キシュ</t>
    </rPh>
    <phoneticPr fontId="8"/>
  </si>
  <si>
    <t>機種272</t>
    <rPh sb="0" eb="2">
      <t>キシュ</t>
    </rPh>
    <phoneticPr fontId="8"/>
  </si>
  <si>
    <t>機種273</t>
    <rPh sb="0" eb="2">
      <t>キシュ</t>
    </rPh>
    <phoneticPr fontId="8"/>
  </si>
  <si>
    <t>機種274</t>
    <rPh sb="0" eb="2">
      <t>キシュ</t>
    </rPh>
    <phoneticPr fontId="8"/>
  </si>
  <si>
    <t>機種275</t>
    <rPh sb="0" eb="2">
      <t>キシュ</t>
    </rPh>
    <phoneticPr fontId="8"/>
  </si>
  <si>
    <t>機種276</t>
    <rPh sb="0" eb="2">
      <t>キシュ</t>
    </rPh>
    <phoneticPr fontId="8"/>
  </si>
  <si>
    <t>機種277</t>
    <rPh sb="0" eb="2">
      <t>キシュ</t>
    </rPh>
    <phoneticPr fontId="8"/>
  </si>
  <si>
    <t>機種278</t>
    <rPh sb="0" eb="2">
      <t>キシュ</t>
    </rPh>
    <phoneticPr fontId="8"/>
  </si>
  <si>
    <t>機種279</t>
    <rPh sb="0" eb="2">
      <t>キシュ</t>
    </rPh>
    <phoneticPr fontId="8"/>
  </si>
  <si>
    <t>機種280</t>
    <rPh sb="0" eb="2">
      <t>キシュ</t>
    </rPh>
    <phoneticPr fontId="8"/>
  </si>
  <si>
    <t>機種281</t>
    <rPh sb="0" eb="2">
      <t>キシュ</t>
    </rPh>
    <phoneticPr fontId="8"/>
  </si>
  <si>
    <t>機種282</t>
    <rPh sb="0" eb="2">
      <t>キシュ</t>
    </rPh>
    <phoneticPr fontId="8"/>
  </si>
  <si>
    <t>機種283</t>
    <rPh sb="0" eb="2">
      <t>キシュ</t>
    </rPh>
    <phoneticPr fontId="8"/>
  </si>
  <si>
    <t>機種284</t>
    <rPh sb="0" eb="2">
      <t>キシュ</t>
    </rPh>
    <phoneticPr fontId="8"/>
  </si>
  <si>
    <t>機種285</t>
    <rPh sb="0" eb="2">
      <t>キシュ</t>
    </rPh>
    <phoneticPr fontId="8"/>
  </si>
  <si>
    <t>機種286</t>
    <rPh sb="0" eb="2">
      <t>キシュ</t>
    </rPh>
    <phoneticPr fontId="8"/>
  </si>
  <si>
    <t>機種287</t>
    <rPh sb="0" eb="2">
      <t>キシュ</t>
    </rPh>
    <phoneticPr fontId="8"/>
  </si>
  <si>
    <t>機種288</t>
    <rPh sb="0" eb="2">
      <t>キシュ</t>
    </rPh>
    <phoneticPr fontId="8"/>
  </si>
  <si>
    <t>機種289</t>
    <rPh sb="0" eb="2">
      <t>キシュ</t>
    </rPh>
    <phoneticPr fontId="8"/>
  </si>
  <si>
    <t>機種290</t>
    <rPh sb="0" eb="2">
      <t>キシュ</t>
    </rPh>
    <phoneticPr fontId="8"/>
  </si>
  <si>
    <t>機種291</t>
    <rPh sb="0" eb="2">
      <t>キシュ</t>
    </rPh>
    <phoneticPr fontId="8"/>
  </si>
  <si>
    <t>機種292</t>
    <rPh sb="0" eb="2">
      <t>キシュ</t>
    </rPh>
    <phoneticPr fontId="8"/>
  </si>
  <si>
    <t>機種293</t>
    <rPh sb="0" eb="2">
      <t>キシュ</t>
    </rPh>
    <phoneticPr fontId="8"/>
  </si>
  <si>
    <t>機種294</t>
    <rPh sb="0" eb="2">
      <t>キシュ</t>
    </rPh>
    <phoneticPr fontId="8"/>
  </si>
  <si>
    <t>機種295</t>
    <rPh sb="0" eb="2">
      <t>キシュ</t>
    </rPh>
    <phoneticPr fontId="8"/>
  </si>
  <si>
    <t>機種296</t>
    <rPh sb="0" eb="2">
      <t>キシュ</t>
    </rPh>
    <phoneticPr fontId="8"/>
  </si>
  <si>
    <t>機種297</t>
    <rPh sb="0" eb="2">
      <t>キシュ</t>
    </rPh>
    <phoneticPr fontId="8"/>
  </si>
  <si>
    <t>機種298</t>
    <rPh sb="0" eb="2">
      <t>キシュ</t>
    </rPh>
    <phoneticPr fontId="8"/>
  </si>
  <si>
    <t>機種299</t>
    <rPh sb="0" eb="2">
      <t>キシュ</t>
    </rPh>
    <phoneticPr fontId="8"/>
  </si>
  <si>
    <t>機種300</t>
    <rPh sb="0" eb="2">
      <t>キシュ</t>
    </rPh>
    <phoneticPr fontId="8"/>
  </si>
  <si>
    <t>機種301</t>
    <rPh sb="0" eb="2">
      <t>キシュ</t>
    </rPh>
    <phoneticPr fontId="8"/>
  </si>
  <si>
    <t>機種302</t>
    <rPh sb="0" eb="2">
      <t>キシュ</t>
    </rPh>
    <phoneticPr fontId="8"/>
  </si>
  <si>
    <t>機種303</t>
    <rPh sb="0" eb="2">
      <t>キシュ</t>
    </rPh>
    <phoneticPr fontId="8"/>
  </si>
  <si>
    <t>機種304</t>
    <rPh sb="0" eb="2">
      <t>キシュ</t>
    </rPh>
    <phoneticPr fontId="8"/>
  </si>
  <si>
    <t>機種305</t>
    <rPh sb="0" eb="2">
      <t>キシュ</t>
    </rPh>
    <phoneticPr fontId="8"/>
  </si>
  <si>
    <t>機種306</t>
    <rPh sb="0" eb="2">
      <t>キシュ</t>
    </rPh>
    <phoneticPr fontId="8"/>
  </si>
  <si>
    <t>機種307</t>
    <rPh sb="0" eb="2">
      <t>キシュ</t>
    </rPh>
    <phoneticPr fontId="8"/>
  </si>
  <si>
    <t>機種308</t>
    <rPh sb="0" eb="2">
      <t>キシュ</t>
    </rPh>
    <phoneticPr fontId="8"/>
  </si>
  <si>
    <t>機種309</t>
    <rPh sb="0" eb="2">
      <t>キシュ</t>
    </rPh>
    <phoneticPr fontId="8"/>
  </si>
  <si>
    <t>機種310</t>
    <rPh sb="0" eb="2">
      <t>キシュ</t>
    </rPh>
    <phoneticPr fontId="8"/>
  </si>
  <si>
    <t>機種311</t>
    <rPh sb="0" eb="2">
      <t>キシュ</t>
    </rPh>
    <phoneticPr fontId="8"/>
  </si>
  <si>
    <t>機種312</t>
    <rPh sb="0" eb="2">
      <t>キシュ</t>
    </rPh>
    <phoneticPr fontId="8"/>
  </si>
  <si>
    <t>機種313</t>
    <rPh sb="0" eb="2">
      <t>キシュ</t>
    </rPh>
    <phoneticPr fontId="8"/>
  </si>
  <si>
    <t>機種314</t>
    <rPh sb="0" eb="2">
      <t>キシュ</t>
    </rPh>
    <phoneticPr fontId="8"/>
  </si>
  <si>
    <t>機種315</t>
    <rPh sb="0" eb="2">
      <t>キシュ</t>
    </rPh>
    <phoneticPr fontId="8"/>
  </si>
  <si>
    <t>機種316</t>
    <rPh sb="0" eb="2">
      <t>キシュ</t>
    </rPh>
    <phoneticPr fontId="8"/>
  </si>
  <si>
    <t>機種317</t>
    <rPh sb="0" eb="2">
      <t>キシュ</t>
    </rPh>
    <phoneticPr fontId="8"/>
  </si>
  <si>
    <t>機種318</t>
    <rPh sb="0" eb="2">
      <t>キシュ</t>
    </rPh>
    <phoneticPr fontId="8"/>
  </si>
  <si>
    <t>機種319</t>
    <rPh sb="0" eb="2">
      <t>キシュ</t>
    </rPh>
    <phoneticPr fontId="8"/>
  </si>
  <si>
    <t>機種320</t>
    <rPh sb="0" eb="2">
      <t>キシュ</t>
    </rPh>
    <phoneticPr fontId="8"/>
  </si>
  <si>
    <t>機種321</t>
    <rPh sb="0" eb="2">
      <t>キシュ</t>
    </rPh>
    <phoneticPr fontId="8"/>
  </si>
  <si>
    <t>機種322</t>
    <rPh sb="0" eb="2">
      <t>キシュ</t>
    </rPh>
    <phoneticPr fontId="8"/>
  </si>
  <si>
    <t>機種323</t>
    <rPh sb="0" eb="2">
      <t>キシュ</t>
    </rPh>
    <phoneticPr fontId="8"/>
  </si>
  <si>
    <t>機種324</t>
    <rPh sb="0" eb="2">
      <t>キシュ</t>
    </rPh>
    <phoneticPr fontId="8"/>
  </si>
  <si>
    <t>機種325</t>
    <rPh sb="0" eb="2">
      <t>キシュ</t>
    </rPh>
    <phoneticPr fontId="8"/>
  </si>
  <si>
    <t>機種326</t>
    <rPh sb="0" eb="2">
      <t>キシュ</t>
    </rPh>
    <phoneticPr fontId="8"/>
  </si>
  <si>
    <t>機種327</t>
    <rPh sb="0" eb="2">
      <t>キシュ</t>
    </rPh>
    <phoneticPr fontId="8"/>
  </si>
  <si>
    <t>機種328</t>
    <rPh sb="0" eb="2">
      <t>キシュ</t>
    </rPh>
    <phoneticPr fontId="8"/>
  </si>
  <si>
    <t>機種329</t>
    <rPh sb="0" eb="2">
      <t>キシュ</t>
    </rPh>
    <phoneticPr fontId="8"/>
  </si>
  <si>
    <t>機種330</t>
    <rPh sb="0" eb="2">
      <t>キシュ</t>
    </rPh>
    <phoneticPr fontId="8"/>
  </si>
  <si>
    <t>機種331</t>
    <rPh sb="0" eb="2">
      <t>キシュ</t>
    </rPh>
    <phoneticPr fontId="8"/>
  </si>
  <si>
    <t>機種332</t>
    <rPh sb="0" eb="2">
      <t>キシュ</t>
    </rPh>
    <phoneticPr fontId="8"/>
  </si>
  <si>
    <t>機種333</t>
    <rPh sb="0" eb="2">
      <t>キシュ</t>
    </rPh>
    <phoneticPr fontId="8"/>
  </si>
  <si>
    <t>機種334</t>
    <rPh sb="0" eb="2">
      <t>キシュ</t>
    </rPh>
    <phoneticPr fontId="8"/>
  </si>
  <si>
    <t>機種335</t>
    <rPh sb="0" eb="2">
      <t>キシュ</t>
    </rPh>
    <phoneticPr fontId="8"/>
  </si>
  <si>
    <t>機種336</t>
    <rPh sb="0" eb="2">
      <t>キシュ</t>
    </rPh>
    <phoneticPr fontId="8"/>
  </si>
  <si>
    <t>機種337</t>
    <rPh sb="0" eb="2">
      <t>キシュ</t>
    </rPh>
    <phoneticPr fontId="8"/>
  </si>
  <si>
    <t>機種338</t>
    <rPh sb="0" eb="2">
      <t>キシュ</t>
    </rPh>
    <phoneticPr fontId="8"/>
  </si>
  <si>
    <t>機種339</t>
    <rPh sb="0" eb="2">
      <t>キシュ</t>
    </rPh>
    <phoneticPr fontId="8"/>
  </si>
  <si>
    <t>機種340</t>
    <rPh sb="0" eb="2">
      <t>キシュ</t>
    </rPh>
    <phoneticPr fontId="8"/>
  </si>
  <si>
    <t>機種341</t>
    <rPh sb="0" eb="2">
      <t>キシュ</t>
    </rPh>
    <phoneticPr fontId="8"/>
  </si>
  <si>
    <t>機種342</t>
    <rPh sb="0" eb="2">
      <t>キシュ</t>
    </rPh>
    <phoneticPr fontId="8"/>
  </si>
  <si>
    <t>機種343</t>
    <rPh sb="0" eb="2">
      <t>キシュ</t>
    </rPh>
    <phoneticPr fontId="8"/>
  </si>
  <si>
    <t>機種344</t>
    <rPh sb="0" eb="2">
      <t>キシュ</t>
    </rPh>
    <phoneticPr fontId="8"/>
  </si>
  <si>
    <t>機種345</t>
    <rPh sb="0" eb="2">
      <t>キシュ</t>
    </rPh>
    <phoneticPr fontId="8"/>
  </si>
  <si>
    <t>機種346</t>
    <rPh sb="0" eb="2">
      <t>キシュ</t>
    </rPh>
    <phoneticPr fontId="8"/>
  </si>
  <si>
    <t>機種347</t>
    <rPh sb="0" eb="2">
      <t>キシュ</t>
    </rPh>
    <phoneticPr fontId="8"/>
  </si>
  <si>
    <t>機種348</t>
    <rPh sb="0" eb="2">
      <t>キシュ</t>
    </rPh>
    <phoneticPr fontId="8"/>
  </si>
  <si>
    <t>機種349</t>
    <rPh sb="0" eb="2">
      <t>キシュ</t>
    </rPh>
    <phoneticPr fontId="8"/>
  </si>
  <si>
    <t>機種350</t>
    <rPh sb="0" eb="2">
      <t>キシュ</t>
    </rPh>
    <phoneticPr fontId="8"/>
  </si>
  <si>
    <t>機種351</t>
    <rPh sb="0" eb="2">
      <t>キシュ</t>
    </rPh>
    <phoneticPr fontId="8"/>
  </si>
  <si>
    <t>機種352</t>
    <rPh sb="0" eb="2">
      <t>キシュ</t>
    </rPh>
    <phoneticPr fontId="8"/>
  </si>
  <si>
    <t>機種353</t>
    <rPh sb="0" eb="2">
      <t>キシュ</t>
    </rPh>
    <phoneticPr fontId="8"/>
  </si>
  <si>
    <t>機種354</t>
    <rPh sb="0" eb="2">
      <t>キシュ</t>
    </rPh>
    <phoneticPr fontId="8"/>
  </si>
  <si>
    <t>機種355</t>
    <rPh sb="0" eb="2">
      <t>キシュ</t>
    </rPh>
    <phoneticPr fontId="8"/>
  </si>
  <si>
    <t>機種356</t>
    <rPh sb="0" eb="2">
      <t>キシュ</t>
    </rPh>
    <phoneticPr fontId="8"/>
  </si>
  <si>
    <t>機種357</t>
    <rPh sb="0" eb="2">
      <t>キシュ</t>
    </rPh>
    <phoneticPr fontId="8"/>
  </si>
  <si>
    <t>機種358</t>
    <rPh sb="0" eb="2">
      <t>キシュ</t>
    </rPh>
    <phoneticPr fontId="8"/>
  </si>
  <si>
    <t>機種359</t>
    <rPh sb="0" eb="2">
      <t>キシュ</t>
    </rPh>
    <phoneticPr fontId="8"/>
  </si>
  <si>
    <t>機種360</t>
    <rPh sb="0" eb="2">
      <t>キシュ</t>
    </rPh>
    <phoneticPr fontId="8"/>
  </si>
  <si>
    <t>機種361</t>
    <rPh sb="0" eb="2">
      <t>キシュ</t>
    </rPh>
    <phoneticPr fontId="8"/>
  </si>
  <si>
    <t>機種362</t>
    <rPh sb="0" eb="2">
      <t>キシュ</t>
    </rPh>
    <phoneticPr fontId="8"/>
  </si>
  <si>
    <t>機種363</t>
    <rPh sb="0" eb="2">
      <t>キシュ</t>
    </rPh>
    <phoneticPr fontId="8"/>
  </si>
  <si>
    <t>機種364</t>
    <rPh sb="0" eb="2">
      <t>キシュ</t>
    </rPh>
    <phoneticPr fontId="8"/>
  </si>
  <si>
    <t>機種365</t>
    <rPh sb="0" eb="2">
      <t>キシュ</t>
    </rPh>
    <phoneticPr fontId="8"/>
  </si>
  <si>
    <t>機種366</t>
    <rPh sb="0" eb="2">
      <t>キシュ</t>
    </rPh>
    <phoneticPr fontId="8"/>
  </si>
  <si>
    <t>機種367</t>
    <rPh sb="0" eb="2">
      <t>キシュ</t>
    </rPh>
    <phoneticPr fontId="8"/>
  </si>
  <si>
    <t>機種368</t>
    <rPh sb="0" eb="2">
      <t>キシュ</t>
    </rPh>
    <phoneticPr fontId="8"/>
  </si>
  <si>
    <t>機種369</t>
    <rPh sb="0" eb="2">
      <t>キシュ</t>
    </rPh>
    <phoneticPr fontId="8"/>
  </si>
  <si>
    <t>機種370</t>
    <rPh sb="0" eb="2">
      <t>キシュ</t>
    </rPh>
    <phoneticPr fontId="8"/>
  </si>
  <si>
    <t>機種371</t>
    <rPh sb="0" eb="2">
      <t>キシュ</t>
    </rPh>
    <phoneticPr fontId="8"/>
  </si>
  <si>
    <t>機種372</t>
    <rPh sb="0" eb="2">
      <t>キシュ</t>
    </rPh>
    <phoneticPr fontId="8"/>
  </si>
  <si>
    <t>機種373</t>
    <rPh sb="0" eb="2">
      <t>キシュ</t>
    </rPh>
    <phoneticPr fontId="8"/>
  </si>
  <si>
    <t>機種374</t>
    <rPh sb="0" eb="2">
      <t>キシュ</t>
    </rPh>
    <phoneticPr fontId="8"/>
  </si>
  <si>
    <t>機種375</t>
    <rPh sb="0" eb="2">
      <t>キシュ</t>
    </rPh>
    <phoneticPr fontId="8"/>
  </si>
  <si>
    <t>機種376</t>
    <rPh sb="0" eb="2">
      <t>キシュ</t>
    </rPh>
    <phoneticPr fontId="8"/>
  </si>
  <si>
    <t>機種377</t>
    <rPh sb="0" eb="2">
      <t>キシュ</t>
    </rPh>
    <phoneticPr fontId="8"/>
  </si>
  <si>
    <t>機種378</t>
    <rPh sb="0" eb="2">
      <t>キシュ</t>
    </rPh>
    <phoneticPr fontId="8"/>
  </si>
  <si>
    <t>機種379</t>
    <rPh sb="0" eb="2">
      <t>キシュ</t>
    </rPh>
    <phoneticPr fontId="8"/>
  </si>
  <si>
    <t>機種380</t>
    <rPh sb="0" eb="2">
      <t>キシュ</t>
    </rPh>
    <phoneticPr fontId="8"/>
  </si>
  <si>
    <t>機種381</t>
    <rPh sb="0" eb="2">
      <t>キシュ</t>
    </rPh>
    <phoneticPr fontId="8"/>
  </si>
  <si>
    <t>機種382</t>
    <rPh sb="0" eb="2">
      <t>キシュ</t>
    </rPh>
    <phoneticPr fontId="8"/>
  </si>
  <si>
    <t>機種383</t>
    <rPh sb="0" eb="2">
      <t>キシュ</t>
    </rPh>
    <phoneticPr fontId="8"/>
  </si>
  <si>
    <t>機種384</t>
    <rPh sb="0" eb="2">
      <t>キシュ</t>
    </rPh>
    <phoneticPr fontId="8"/>
  </si>
  <si>
    <t>機種385</t>
    <rPh sb="0" eb="2">
      <t>キシュ</t>
    </rPh>
    <phoneticPr fontId="8"/>
  </si>
  <si>
    <t>機種386</t>
    <rPh sb="0" eb="2">
      <t>キシュ</t>
    </rPh>
    <phoneticPr fontId="8"/>
  </si>
  <si>
    <t>機種387</t>
    <rPh sb="0" eb="2">
      <t>キシュ</t>
    </rPh>
    <phoneticPr fontId="8"/>
  </si>
  <si>
    <t>機種388</t>
    <rPh sb="0" eb="2">
      <t>キシュ</t>
    </rPh>
    <phoneticPr fontId="8"/>
  </si>
  <si>
    <t>機種389</t>
    <rPh sb="0" eb="2">
      <t>キシュ</t>
    </rPh>
    <phoneticPr fontId="8"/>
  </si>
  <si>
    <t>機種390</t>
    <rPh sb="0" eb="2">
      <t>キシュ</t>
    </rPh>
    <phoneticPr fontId="8"/>
  </si>
  <si>
    <t>機種391</t>
    <rPh sb="0" eb="2">
      <t>キシュ</t>
    </rPh>
    <phoneticPr fontId="8"/>
  </si>
  <si>
    <t>機種392</t>
    <rPh sb="0" eb="2">
      <t>キシュ</t>
    </rPh>
    <phoneticPr fontId="8"/>
  </si>
  <si>
    <t>機種393</t>
    <rPh sb="0" eb="2">
      <t>キシュ</t>
    </rPh>
    <phoneticPr fontId="8"/>
  </si>
  <si>
    <t>機種394</t>
    <rPh sb="0" eb="2">
      <t>キシュ</t>
    </rPh>
    <phoneticPr fontId="8"/>
  </si>
  <si>
    <t>機種395</t>
    <rPh sb="0" eb="2">
      <t>キシュ</t>
    </rPh>
    <phoneticPr fontId="8"/>
  </si>
  <si>
    <t>機種396</t>
    <rPh sb="0" eb="2">
      <t>キシュ</t>
    </rPh>
    <phoneticPr fontId="8"/>
  </si>
  <si>
    <t>機種397</t>
    <rPh sb="0" eb="2">
      <t>キシュ</t>
    </rPh>
    <phoneticPr fontId="8"/>
  </si>
  <si>
    <t>機種398</t>
    <rPh sb="0" eb="2">
      <t>キシュ</t>
    </rPh>
    <phoneticPr fontId="8"/>
  </si>
  <si>
    <t>機種399</t>
    <rPh sb="0" eb="2">
      <t>キシュ</t>
    </rPh>
    <phoneticPr fontId="8"/>
  </si>
  <si>
    <t>機種400</t>
    <rPh sb="0" eb="2">
      <t>キシュ</t>
    </rPh>
    <phoneticPr fontId="8"/>
  </si>
  <si>
    <t>■資源エネルギー庁　標準発熱量・炭素排出係数（総合エネルギー統計）</t>
    <rPh sb="1" eb="3">
      <t>シゲン</t>
    </rPh>
    <rPh sb="8" eb="9">
      <t>チョウ</t>
    </rPh>
    <phoneticPr fontId="8"/>
  </si>
  <si>
    <t>■環境省　算定方法・排出係数一覧</t>
    <rPh sb="1" eb="4">
      <t>カンキョウショウ</t>
    </rPh>
    <phoneticPr fontId="8"/>
  </si>
  <si>
    <t>日使用時間</t>
    <rPh sb="0" eb="1">
      <t>ニチ</t>
    </rPh>
    <rPh sb="3" eb="5">
      <t>ジカン</t>
    </rPh>
    <phoneticPr fontId="8"/>
  </si>
  <si>
    <t>年間使用時間(b)</t>
    <rPh sb="0" eb="2">
      <t>ネンカン</t>
    </rPh>
    <rPh sb="4" eb="6">
      <t>ジカン</t>
    </rPh>
    <phoneticPr fontId="8"/>
  </si>
  <si>
    <t>年間使用時間(b')</t>
    <rPh sb="0" eb="2">
      <t>ネンカン</t>
    </rPh>
    <rPh sb="4" eb="6">
      <t>ジカン</t>
    </rPh>
    <phoneticPr fontId="8"/>
  </si>
  <si>
    <t>定格能力</t>
    <rPh sb="0" eb="2">
      <t>テイカク</t>
    </rPh>
    <rPh sb="2" eb="4">
      <t>ノウリョク</t>
    </rPh>
    <phoneticPr fontId="8"/>
  </si>
  <si>
    <t>kL/年</t>
  </si>
  <si>
    <t>kL/年</t>
    <rPh sb="3" eb="4">
      <t>ネン</t>
    </rPh>
    <phoneticPr fontId="8"/>
  </si>
  <si>
    <t>kL/年</t>
    <phoneticPr fontId="8"/>
  </si>
  <si>
    <t>機種401</t>
    <rPh sb="0" eb="2">
      <t>キシュ</t>
    </rPh>
    <phoneticPr fontId="8"/>
  </si>
  <si>
    <t>機種402</t>
    <rPh sb="0" eb="2">
      <t>キシュ</t>
    </rPh>
    <phoneticPr fontId="8"/>
  </si>
  <si>
    <t>機種403</t>
    <rPh sb="0" eb="2">
      <t>キシュ</t>
    </rPh>
    <phoneticPr fontId="8"/>
  </si>
  <si>
    <t>機種404</t>
    <rPh sb="0" eb="2">
      <t>キシュ</t>
    </rPh>
    <phoneticPr fontId="8"/>
  </si>
  <si>
    <t>機種405</t>
    <rPh sb="0" eb="2">
      <t>キシュ</t>
    </rPh>
    <phoneticPr fontId="8"/>
  </si>
  <si>
    <t>機種406</t>
    <rPh sb="0" eb="2">
      <t>キシュ</t>
    </rPh>
    <phoneticPr fontId="8"/>
  </si>
  <si>
    <t>機種407</t>
    <rPh sb="0" eb="2">
      <t>キシュ</t>
    </rPh>
    <phoneticPr fontId="8"/>
  </si>
  <si>
    <t>機種408</t>
    <rPh sb="0" eb="2">
      <t>キシュ</t>
    </rPh>
    <phoneticPr fontId="8"/>
  </si>
  <si>
    <t>機種409</t>
    <rPh sb="0" eb="2">
      <t>キシュ</t>
    </rPh>
    <phoneticPr fontId="8"/>
  </si>
  <si>
    <t>機種410</t>
    <rPh sb="0" eb="2">
      <t>キシュ</t>
    </rPh>
    <phoneticPr fontId="8"/>
  </si>
  <si>
    <t>機種411</t>
    <rPh sb="0" eb="2">
      <t>キシュ</t>
    </rPh>
    <phoneticPr fontId="8"/>
  </si>
  <si>
    <t>機種412</t>
    <rPh sb="0" eb="2">
      <t>キシュ</t>
    </rPh>
    <phoneticPr fontId="8"/>
  </si>
  <si>
    <t>機種413</t>
    <rPh sb="0" eb="2">
      <t>キシュ</t>
    </rPh>
    <phoneticPr fontId="8"/>
  </si>
  <si>
    <t>機種414</t>
    <rPh sb="0" eb="2">
      <t>キシュ</t>
    </rPh>
    <phoneticPr fontId="8"/>
  </si>
  <si>
    <t>機種415</t>
    <rPh sb="0" eb="2">
      <t>キシュ</t>
    </rPh>
    <phoneticPr fontId="8"/>
  </si>
  <si>
    <t>機種416</t>
    <rPh sb="0" eb="2">
      <t>キシュ</t>
    </rPh>
    <phoneticPr fontId="8"/>
  </si>
  <si>
    <t>機種417</t>
    <rPh sb="0" eb="2">
      <t>キシュ</t>
    </rPh>
    <phoneticPr fontId="8"/>
  </si>
  <si>
    <t>機種418</t>
    <rPh sb="0" eb="2">
      <t>キシュ</t>
    </rPh>
    <phoneticPr fontId="8"/>
  </si>
  <si>
    <t>機種419</t>
    <rPh sb="0" eb="2">
      <t>キシュ</t>
    </rPh>
    <phoneticPr fontId="8"/>
  </si>
  <si>
    <t>機種420</t>
    <rPh sb="0" eb="2">
      <t>キシュ</t>
    </rPh>
    <phoneticPr fontId="8"/>
  </si>
  <si>
    <t>機種421</t>
    <rPh sb="0" eb="2">
      <t>キシュ</t>
    </rPh>
    <phoneticPr fontId="8"/>
  </si>
  <si>
    <t>機種422</t>
    <rPh sb="0" eb="2">
      <t>キシュ</t>
    </rPh>
    <phoneticPr fontId="8"/>
  </si>
  <si>
    <t>機種423</t>
    <rPh sb="0" eb="2">
      <t>キシュ</t>
    </rPh>
    <phoneticPr fontId="8"/>
  </si>
  <si>
    <t>機種424</t>
    <rPh sb="0" eb="2">
      <t>キシュ</t>
    </rPh>
    <phoneticPr fontId="8"/>
  </si>
  <si>
    <t>機種425</t>
    <rPh sb="0" eb="2">
      <t>キシュ</t>
    </rPh>
    <phoneticPr fontId="8"/>
  </si>
  <si>
    <t>機種426</t>
    <rPh sb="0" eb="2">
      <t>キシュ</t>
    </rPh>
    <phoneticPr fontId="8"/>
  </si>
  <si>
    <t>機種427</t>
    <rPh sb="0" eb="2">
      <t>キシュ</t>
    </rPh>
    <phoneticPr fontId="8"/>
  </si>
  <si>
    <t>機種428</t>
    <rPh sb="0" eb="2">
      <t>キシュ</t>
    </rPh>
    <phoneticPr fontId="8"/>
  </si>
  <si>
    <t>機種429</t>
    <rPh sb="0" eb="2">
      <t>キシュ</t>
    </rPh>
    <phoneticPr fontId="8"/>
  </si>
  <si>
    <t>機種430</t>
    <rPh sb="0" eb="2">
      <t>キシュ</t>
    </rPh>
    <phoneticPr fontId="8"/>
  </si>
  <si>
    <t>機種431</t>
    <rPh sb="0" eb="2">
      <t>キシュ</t>
    </rPh>
    <phoneticPr fontId="8"/>
  </si>
  <si>
    <t>機種432</t>
    <rPh sb="0" eb="2">
      <t>キシュ</t>
    </rPh>
    <phoneticPr fontId="8"/>
  </si>
  <si>
    <t>機種433</t>
    <rPh sb="0" eb="2">
      <t>キシュ</t>
    </rPh>
    <phoneticPr fontId="8"/>
  </si>
  <si>
    <t>機種434</t>
    <rPh sb="0" eb="2">
      <t>キシュ</t>
    </rPh>
    <phoneticPr fontId="8"/>
  </si>
  <si>
    <t>機種435</t>
    <rPh sb="0" eb="2">
      <t>キシュ</t>
    </rPh>
    <phoneticPr fontId="8"/>
  </si>
  <si>
    <t>機種436</t>
    <rPh sb="0" eb="2">
      <t>キシュ</t>
    </rPh>
    <phoneticPr fontId="8"/>
  </si>
  <si>
    <t>機種437</t>
    <rPh sb="0" eb="2">
      <t>キシュ</t>
    </rPh>
    <phoneticPr fontId="8"/>
  </si>
  <si>
    <t>機種438</t>
    <rPh sb="0" eb="2">
      <t>キシュ</t>
    </rPh>
    <phoneticPr fontId="8"/>
  </si>
  <si>
    <t>機種439</t>
    <rPh sb="0" eb="2">
      <t>キシュ</t>
    </rPh>
    <phoneticPr fontId="8"/>
  </si>
  <si>
    <t>機種440</t>
    <rPh sb="0" eb="2">
      <t>キシュ</t>
    </rPh>
    <phoneticPr fontId="8"/>
  </si>
  <si>
    <t>機種441</t>
    <rPh sb="0" eb="2">
      <t>キシュ</t>
    </rPh>
    <phoneticPr fontId="8"/>
  </si>
  <si>
    <t>機種442</t>
    <rPh sb="0" eb="2">
      <t>キシュ</t>
    </rPh>
    <phoneticPr fontId="8"/>
  </si>
  <si>
    <t>機種443</t>
    <rPh sb="0" eb="2">
      <t>キシュ</t>
    </rPh>
    <phoneticPr fontId="8"/>
  </si>
  <si>
    <t>機種444</t>
    <rPh sb="0" eb="2">
      <t>キシュ</t>
    </rPh>
    <phoneticPr fontId="8"/>
  </si>
  <si>
    <t>機種445</t>
    <rPh sb="0" eb="2">
      <t>キシュ</t>
    </rPh>
    <phoneticPr fontId="8"/>
  </si>
  <si>
    <t>機種446</t>
    <rPh sb="0" eb="2">
      <t>キシュ</t>
    </rPh>
    <phoneticPr fontId="8"/>
  </si>
  <si>
    <t>機種447</t>
    <rPh sb="0" eb="2">
      <t>キシュ</t>
    </rPh>
    <phoneticPr fontId="8"/>
  </si>
  <si>
    <t>機種448</t>
    <rPh sb="0" eb="2">
      <t>キシュ</t>
    </rPh>
    <phoneticPr fontId="8"/>
  </si>
  <si>
    <t>機種449</t>
    <rPh sb="0" eb="2">
      <t>キシュ</t>
    </rPh>
    <phoneticPr fontId="8"/>
  </si>
  <si>
    <t>機種450</t>
    <rPh sb="0" eb="2">
      <t>キシュ</t>
    </rPh>
    <phoneticPr fontId="8"/>
  </si>
  <si>
    <t>機種451</t>
    <rPh sb="0" eb="2">
      <t>キシュ</t>
    </rPh>
    <phoneticPr fontId="8"/>
  </si>
  <si>
    <t>機種452</t>
    <rPh sb="0" eb="2">
      <t>キシュ</t>
    </rPh>
    <phoneticPr fontId="8"/>
  </si>
  <si>
    <t>機種453</t>
    <rPh sb="0" eb="2">
      <t>キシュ</t>
    </rPh>
    <phoneticPr fontId="8"/>
  </si>
  <si>
    <t>機種454</t>
    <rPh sb="0" eb="2">
      <t>キシュ</t>
    </rPh>
    <phoneticPr fontId="8"/>
  </si>
  <si>
    <t>機種455</t>
    <rPh sb="0" eb="2">
      <t>キシュ</t>
    </rPh>
    <phoneticPr fontId="8"/>
  </si>
  <si>
    <t>機種456</t>
    <rPh sb="0" eb="2">
      <t>キシュ</t>
    </rPh>
    <phoneticPr fontId="8"/>
  </si>
  <si>
    <t>機種457</t>
    <rPh sb="0" eb="2">
      <t>キシュ</t>
    </rPh>
    <phoneticPr fontId="8"/>
  </si>
  <si>
    <t>機種458</t>
    <rPh sb="0" eb="2">
      <t>キシュ</t>
    </rPh>
    <phoneticPr fontId="8"/>
  </si>
  <si>
    <t>機種459</t>
    <rPh sb="0" eb="2">
      <t>キシュ</t>
    </rPh>
    <phoneticPr fontId="8"/>
  </si>
  <si>
    <t>機種460</t>
    <rPh sb="0" eb="2">
      <t>キシュ</t>
    </rPh>
    <phoneticPr fontId="8"/>
  </si>
  <si>
    <t>機種461</t>
    <rPh sb="0" eb="2">
      <t>キシュ</t>
    </rPh>
    <phoneticPr fontId="8"/>
  </si>
  <si>
    <t>機種462</t>
    <rPh sb="0" eb="2">
      <t>キシュ</t>
    </rPh>
    <phoneticPr fontId="8"/>
  </si>
  <si>
    <t>機種463</t>
    <rPh sb="0" eb="2">
      <t>キシュ</t>
    </rPh>
    <phoneticPr fontId="8"/>
  </si>
  <si>
    <t>機種464</t>
    <rPh sb="0" eb="2">
      <t>キシュ</t>
    </rPh>
    <phoneticPr fontId="8"/>
  </si>
  <si>
    <t>機種465</t>
    <rPh sb="0" eb="2">
      <t>キシュ</t>
    </rPh>
    <phoneticPr fontId="8"/>
  </si>
  <si>
    <t>機種466</t>
    <rPh sb="0" eb="2">
      <t>キシュ</t>
    </rPh>
    <phoneticPr fontId="8"/>
  </si>
  <si>
    <t>機種467</t>
    <rPh sb="0" eb="2">
      <t>キシュ</t>
    </rPh>
    <phoneticPr fontId="8"/>
  </si>
  <si>
    <t>機種468</t>
    <rPh sb="0" eb="2">
      <t>キシュ</t>
    </rPh>
    <phoneticPr fontId="8"/>
  </si>
  <si>
    <t>機種469</t>
    <rPh sb="0" eb="2">
      <t>キシュ</t>
    </rPh>
    <phoneticPr fontId="8"/>
  </si>
  <si>
    <t>機種470</t>
    <rPh sb="0" eb="2">
      <t>キシュ</t>
    </rPh>
    <phoneticPr fontId="8"/>
  </si>
  <si>
    <t>機種471</t>
    <rPh sb="0" eb="2">
      <t>キシュ</t>
    </rPh>
    <phoneticPr fontId="8"/>
  </si>
  <si>
    <t>機種472</t>
    <rPh sb="0" eb="2">
      <t>キシュ</t>
    </rPh>
    <phoneticPr fontId="8"/>
  </si>
  <si>
    <t>機種473</t>
    <rPh sb="0" eb="2">
      <t>キシュ</t>
    </rPh>
    <phoneticPr fontId="8"/>
  </si>
  <si>
    <t>機種474</t>
    <rPh sb="0" eb="2">
      <t>キシュ</t>
    </rPh>
    <phoneticPr fontId="8"/>
  </si>
  <si>
    <t>機種475</t>
    <rPh sb="0" eb="2">
      <t>キシュ</t>
    </rPh>
    <phoneticPr fontId="8"/>
  </si>
  <si>
    <t>機種476</t>
    <rPh sb="0" eb="2">
      <t>キシュ</t>
    </rPh>
    <phoneticPr fontId="8"/>
  </si>
  <si>
    <t>機種477</t>
    <rPh sb="0" eb="2">
      <t>キシュ</t>
    </rPh>
    <phoneticPr fontId="8"/>
  </si>
  <si>
    <t>機種478</t>
    <rPh sb="0" eb="2">
      <t>キシュ</t>
    </rPh>
    <phoneticPr fontId="8"/>
  </si>
  <si>
    <t>機種479</t>
    <rPh sb="0" eb="2">
      <t>キシュ</t>
    </rPh>
    <phoneticPr fontId="8"/>
  </si>
  <si>
    <t>機種480</t>
    <rPh sb="0" eb="2">
      <t>キシュ</t>
    </rPh>
    <phoneticPr fontId="8"/>
  </si>
  <si>
    <t>機種481</t>
    <rPh sb="0" eb="2">
      <t>キシュ</t>
    </rPh>
    <phoneticPr fontId="8"/>
  </si>
  <si>
    <t>機種482</t>
    <rPh sb="0" eb="2">
      <t>キシュ</t>
    </rPh>
    <phoneticPr fontId="8"/>
  </si>
  <si>
    <t>機種483</t>
    <rPh sb="0" eb="2">
      <t>キシュ</t>
    </rPh>
    <phoneticPr fontId="8"/>
  </si>
  <si>
    <t>機種484</t>
    <rPh sb="0" eb="2">
      <t>キシュ</t>
    </rPh>
    <phoneticPr fontId="8"/>
  </si>
  <si>
    <t>機種485</t>
    <rPh sb="0" eb="2">
      <t>キシュ</t>
    </rPh>
    <phoneticPr fontId="8"/>
  </si>
  <si>
    <t>機種486</t>
    <rPh sb="0" eb="2">
      <t>キシュ</t>
    </rPh>
    <phoneticPr fontId="8"/>
  </si>
  <si>
    <t>機種487</t>
    <rPh sb="0" eb="2">
      <t>キシュ</t>
    </rPh>
    <phoneticPr fontId="8"/>
  </si>
  <si>
    <t>機種488</t>
    <rPh sb="0" eb="2">
      <t>キシュ</t>
    </rPh>
    <phoneticPr fontId="8"/>
  </si>
  <si>
    <t>機種489</t>
    <rPh sb="0" eb="2">
      <t>キシュ</t>
    </rPh>
    <phoneticPr fontId="8"/>
  </si>
  <si>
    <t>機種490</t>
    <rPh sb="0" eb="2">
      <t>キシュ</t>
    </rPh>
    <phoneticPr fontId="8"/>
  </si>
  <si>
    <t>機種491</t>
    <rPh sb="0" eb="2">
      <t>キシュ</t>
    </rPh>
    <phoneticPr fontId="8"/>
  </si>
  <si>
    <t>機種492</t>
    <rPh sb="0" eb="2">
      <t>キシュ</t>
    </rPh>
    <phoneticPr fontId="8"/>
  </si>
  <si>
    <t>機種493</t>
    <rPh sb="0" eb="2">
      <t>キシュ</t>
    </rPh>
    <phoneticPr fontId="8"/>
  </si>
  <si>
    <t>機種494</t>
    <rPh sb="0" eb="2">
      <t>キシュ</t>
    </rPh>
    <phoneticPr fontId="8"/>
  </si>
  <si>
    <t>機種495</t>
    <rPh sb="0" eb="2">
      <t>キシュ</t>
    </rPh>
    <phoneticPr fontId="8"/>
  </si>
  <si>
    <t>機種496</t>
    <rPh sb="0" eb="2">
      <t>キシュ</t>
    </rPh>
    <phoneticPr fontId="8"/>
  </si>
  <si>
    <t>機種497</t>
    <rPh sb="0" eb="2">
      <t>キシュ</t>
    </rPh>
    <phoneticPr fontId="8"/>
  </si>
  <si>
    <t>機種498</t>
    <rPh sb="0" eb="2">
      <t>キシュ</t>
    </rPh>
    <phoneticPr fontId="8"/>
  </si>
  <si>
    <t>機種499</t>
    <rPh sb="0" eb="2">
      <t>キシュ</t>
    </rPh>
    <phoneticPr fontId="8"/>
  </si>
  <si>
    <t>機種500</t>
    <rPh sb="0" eb="2">
      <t>キシュ</t>
    </rPh>
    <phoneticPr fontId="8"/>
  </si>
  <si>
    <t>原油削減量</t>
    <phoneticPr fontId="8"/>
  </si>
  <si>
    <t>kL/年</t>
    <phoneticPr fontId="8"/>
  </si>
  <si>
    <t>算定結果</t>
    <rPh sb="0" eb="4">
      <t>サンテイケッカ</t>
    </rPh>
    <phoneticPr fontId="8"/>
  </si>
  <si>
    <t>時間/日</t>
    <rPh sb="0" eb="2">
      <t>ジカン</t>
    </rPh>
    <rPh sb="3" eb="4">
      <t>ニチ</t>
    </rPh>
    <phoneticPr fontId="8"/>
  </si>
  <si>
    <t>日/年</t>
    <rPh sb="0" eb="1">
      <t>ニチ</t>
    </rPh>
    <rPh sb="2" eb="3">
      <t>ネン</t>
    </rPh>
    <phoneticPr fontId="8"/>
  </si>
  <si>
    <t>年</t>
    <rPh sb="0" eb="1">
      <t>ネン</t>
    </rPh>
    <phoneticPr fontId="8"/>
  </si>
  <si>
    <t>個</t>
    <rPh sb="0" eb="1">
      <t>コ</t>
    </rPh>
    <phoneticPr fontId="8"/>
  </si>
  <si>
    <t>極</t>
    <rPh sb="0" eb="1">
      <t>キョク</t>
    </rPh>
    <phoneticPr fontId="8"/>
  </si>
  <si>
    <t>％</t>
    <phoneticPr fontId="8"/>
  </si>
  <si>
    <t>診断結果【既存設備のエネルギー使用量】</t>
    <rPh sb="0" eb="4">
      <t>シンダンケッカ</t>
    </rPh>
    <rPh sb="5" eb="9">
      <t>キゾンセツビ</t>
    </rPh>
    <rPh sb="15" eb="18">
      <t>シヨウリョウ</t>
    </rPh>
    <phoneticPr fontId="8"/>
  </si>
  <si>
    <t>照明</t>
    <rPh sb="0" eb="2">
      <t>ショウメイ</t>
    </rPh>
    <phoneticPr fontId="8"/>
  </si>
  <si>
    <t>変圧器</t>
    <rPh sb="0" eb="3">
      <t>ヘンアツキ</t>
    </rPh>
    <phoneticPr fontId="8"/>
  </si>
  <si>
    <t>https://www.enecho.meti.go.jp/category/saving_and_new/saving/enterprise/equipment/</t>
    <phoneticPr fontId="8"/>
  </si>
  <si>
    <t>『(Ⅲ)設備単位型』補助対象（制御機能付きLED照明器具）</t>
    <rPh sb="15" eb="17">
      <t>セイギョ</t>
    </rPh>
    <rPh sb="17" eb="20">
      <t>キノウツ</t>
    </rPh>
    <rPh sb="24" eb="28">
      <t>ショウメイキグ</t>
    </rPh>
    <phoneticPr fontId="8"/>
  </si>
  <si>
    <t>トップランナー制度（3 照明器具）</t>
    <rPh sb="7" eb="9">
      <t>セイド</t>
    </rPh>
    <rPh sb="12" eb="16">
      <t>ショウメイキグ</t>
    </rPh>
    <phoneticPr fontId="8"/>
  </si>
  <si>
    <t>トップランナー制度（2 エアコンディショナー）</t>
    <rPh sb="7" eb="9">
      <t>セイド</t>
    </rPh>
    <phoneticPr fontId="8"/>
  </si>
  <si>
    <t>『(Ⅲ)設備単位型』補助対象（高効率空調）</t>
    <rPh sb="15" eb="20">
      <t>コウコウリツクウチョウ</t>
    </rPh>
    <phoneticPr fontId="8"/>
  </si>
  <si>
    <t>トップランナー制度（14 ガス温水機器、15 石油温水機器、26 ヒートポンプ給湯器）</t>
    <rPh sb="7" eb="9">
      <t>セイド</t>
    </rPh>
    <rPh sb="15" eb="19">
      <t>オンスイキキ</t>
    </rPh>
    <rPh sb="23" eb="29">
      <t>セキユオンスイキキ</t>
    </rPh>
    <rPh sb="39" eb="42">
      <t>キュウトウキ</t>
    </rPh>
    <phoneticPr fontId="8"/>
  </si>
  <si>
    <t>『(Ⅲ)設備単位型』補助対象（産業ヒートポンプ、高性能ボイラ）</t>
    <rPh sb="15" eb="17">
      <t>サンギョウ</t>
    </rPh>
    <rPh sb="24" eb="27">
      <t>コウセイノウ</t>
    </rPh>
    <phoneticPr fontId="8"/>
  </si>
  <si>
    <t>トップランナー制度（27 交流電動機）</t>
    <rPh sb="7" eb="9">
      <t>セイド</t>
    </rPh>
    <rPh sb="13" eb="18">
      <t>コウリュウデンドウキ</t>
    </rPh>
    <phoneticPr fontId="8"/>
  </si>
  <si>
    <t>『(Ⅲ)設備単位型』補助対象（産業用モータ）</t>
    <rPh sb="15" eb="18">
      <t>サンギョウヨウ</t>
    </rPh>
    <phoneticPr fontId="8"/>
  </si>
  <si>
    <t>トップランナー制度（18 変圧器）</t>
    <rPh sb="7" eb="9">
      <t>セイド</t>
    </rPh>
    <rPh sb="13" eb="16">
      <t>ヘンアツキ</t>
    </rPh>
    <phoneticPr fontId="8"/>
  </si>
  <si>
    <t>『(Ⅲ)設備単位型』補助対象（変圧器）</t>
    <rPh sb="15" eb="18">
      <t>ヘンアツキ</t>
    </rPh>
    <phoneticPr fontId="8"/>
  </si>
  <si>
    <t>空調の更新</t>
    <phoneticPr fontId="8"/>
  </si>
  <si>
    <t>型番</t>
    <rPh sb="0" eb="2">
      <t>カタバン</t>
    </rPh>
    <phoneticPr fontId="8"/>
  </si>
  <si>
    <t>設備種類</t>
    <phoneticPr fontId="8"/>
  </si>
  <si>
    <t>ガス燃料種類</t>
    <phoneticPr fontId="8"/>
  </si>
  <si>
    <t>体積</t>
    <rPh sb="0" eb="2">
      <t>タイセキ</t>
    </rPh>
    <phoneticPr fontId="8"/>
  </si>
  <si>
    <t>■算定総括（削減効果）</t>
    <rPh sb="1" eb="5">
      <t>サンテイソウカツ</t>
    </rPh>
    <rPh sb="6" eb="10">
      <t>サクゲンコウカ</t>
    </rPh>
    <phoneticPr fontId="8"/>
  </si>
  <si>
    <t>年間（計算結果）</t>
    <rPh sb="0" eb="2">
      <t>ネンカン</t>
    </rPh>
    <rPh sb="3" eb="5">
      <t>ケイサン</t>
    </rPh>
    <rPh sb="5" eb="7">
      <t>ケッカ</t>
    </rPh>
    <phoneticPr fontId="8"/>
  </si>
  <si>
    <t>変圧比</t>
    <phoneticPr fontId="8"/>
  </si>
  <si>
    <t>相数</t>
    <rPh sb="0" eb="1">
      <t>ソウ</t>
    </rPh>
    <rPh sb="1" eb="2">
      <t>スウ</t>
    </rPh>
    <phoneticPr fontId="8"/>
  </si>
  <si>
    <t>台数の増減</t>
    <rPh sb="3" eb="5">
      <t>ゾウゲン</t>
    </rPh>
    <phoneticPr fontId="8"/>
  </si>
  <si>
    <t>更新後</t>
    <rPh sb="0" eb="3">
      <t>コウシンゴ</t>
    </rPh>
    <phoneticPr fontId="8"/>
  </si>
  <si>
    <t>kL/年</t>
    <phoneticPr fontId="8"/>
  </si>
  <si>
    <t>概要</t>
    <rPh sb="0" eb="2">
      <t>ガイヨウ</t>
    </rPh>
    <phoneticPr fontId="8"/>
  </si>
  <si>
    <t>型番
（セット又は室外機）</t>
    <rPh sb="0" eb="2">
      <t>カタバン</t>
    </rPh>
    <rPh sb="7" eb="8">
      <t>マタ</t>
    </rPh>
    <rPh sb="9" eb="12">
      <t>シツガイキ</t>
    </rPh>
    <phoneticPr fontId="8"/>
  </si>
  <si>
    <t>年間（計算結果）</t>
    <rPh sb="0" eb="2">
      <t>ネンカン</t>
    </rPh>
    <rPh sb="3" eb="7">
      <t>ケイサンケッカ</t>
    </rPh>
    <phoneticPr fontId="8"/>
  </si>
  <si>
    <t>FHF32、2灯式</t>
    <phoneticPr fontId="8"/>
  </si>
  <si>
    <t>FHF32、1灯式</t>
    <phoneticPr fontId="8"/>
  </si>
  <si>
    <t>FLR40、1灯式</t>
    <phoneticPr fontId="8"/>
  </si>
  <si>
    <t>FLR40、2灯式</t>
    <phoneticPr fontId="8"/>
  </si>
  <si>
    <t>(kcal/㎥)</t>
  </si>
  <si>
    <t>体積換算</t>
    <rPh sb="0" eb="4">
      <t>タイセキカンサン</t>
    </rPh>
    <phoneticPr fontId="14"/>
  </si>
  <si>
    <t>ABCD1234</t>
    <phoneticPr fontId="8"/>
  </si>
  <si>
    <t>EFGH5678</t>
    <phoneticPr fontId="8"/>
  </si>
  <si>
    <t>JKLM9012</t>
    <phoneticPr fontId="8"/>
  </si>
  <si>
    <t>NOPQ3456</t>
    <phoneticPr fontId="8"/>
  </si>
  <si>
    <t>RS7890</t>
    <phoneticPr fontId="8"/>
  </si>
  <si>
    <t>型番
（又は名称等）</t>
    <rPh sb="0" eb="2">
      <t>カタバン</t>
    </rPh>
    <rPh sb="4" eb="5">
      <t>マタ</t>
    </rPh>
    <rPh sb="6" eb="8">
      <t>メイショウ</t>
    </rPh>
    <rPh sb="8" eb="9">
      <t>ナド</t>
    </rPh>
    <phoneticPr fontId="8"/>
  </si>
  <si>
    <t>【記入例】照明の更新</t>
    <rPh sb="1" eb="4">
      <t>キニュウレイ</t>
    </rPh>
    <rPh sb="5" eb="7">
      <t>ショウメイ</t>
    </rPh>
    <phoneticPr fontId="8"/>
  </si>
  <si>
    <t>GHP</t>
  </si>
  <si>
    <t>13A（都市ガス）</t>
  </si>
  <si>
    <t>LPG</t>
  </si>
  <si>
    <t>電気式</t>
  </si>
  <si>
    <t>導入年度
（西暦）</t>
    <rPh sb="0" eb="2">
      <t>ドウニュウ</t>
    </rPh>
    <rPh sb="2" eb="4">
      <t>ネンド</t>
    </rPh>
    <rPh sb="6" eb="8">
      <t>セイレキ</t>
    </rPh>
    <phoneticPr fontId="8"/>
  </si>
  <si>
    <t>【記入例】空調の更新</t>
    <rPh sb="1" eb="4">
      <t>キニュウレイ</t>
    </rPh>
    <phoneticPr fontId="8"/>
  </si>
  <si>
    <t>更新後</t>
    <rPh sb="0" eb="3">
      <t>コウシンゴ</t>
    </rPh>
    <phoneticPr fontId="8"/>
  </si>
  <si>
    <t>AAA140BB</t>
    <phoneticPr fontId="8"/>
  </si>
  <si>
    <t>CCC450DD</t>
    <phoneticPr fontId="8"/>
  </si>
  <si>
    <t>EEE125FF</t>
    <phoneticPr fontId="8"/>
  </si>
  <si>
    <t>GGG450HH</t>
    <phoneticPr fontId="8"/>
  </si>
  <si>
    <t>定格冷房能力</t>
  </si>
  <si>
    <t>定格冷房消費電力</t>
  </si>
  <si>
    <t>定格暖房能力</t>
  </si>
  <si>
    <t>定格暖房消費電力</t>
  </si>
  <si>
    <t>最大暖房低温能力</t>
  </si>
  <si>
    <t>最大暖房低温消費電力</t>
  </si>
  <si>
    <t>三相　200V　50/60Hz</t>
  </si>
  <si>
    <t>AAA140BB</t>
    <phoneticPr fontId="8"/>
  </si>
  <si>
    <t>【記入例】ボイラー・給湯器の更新</t>
    <rPh sb="1" eb="4">
      <t>キニュウレイ</t>
    </rPh>
    <rPh sb="10" eb="13">
      <t>キュウトウキ</t>
    </rPh>
    <phoneticPr fontId="8"/>
  </si>
  <si>
    <t>ボイラー</t>
  </si>
  <si>
    <t>t/h</t>
  </si>
  <si>
    <t>AA350BC</t>
    <phoneticPr fontId="8"/>
  </si>
  <si>
    <t>DD087EF</t>
    <phoneticPr fontId="8"/>
  </si>
  <si>
    <t>GG004HJ</t>
    <phoneticPr fontId="8"/>
  </si>
  <si>
    <t>更新前（合計）</t>
    <rPh sb="0" eb="2">
      <t>コウシン</t>
    </rPh>
    <rPh sb="2" eb="3">
      <t>マエ</t>
    </rPh>
    <rPh sb="4" eb="6">
      <t>ゴウケイ</t>
    </rPh>
    <phoneticPr fontId="8"/>
  </si>
  <si>
    <t>更新後（合計）</t>
    <rPh sb="0" eb="2">
      <t>コウシン</t>
    </rPh>
    <rPh sb="2" eb="3">
      <t>ゴ</t>
    </rPh>
    <phoneticPr fontId="8"/>
  </si>
  <si>
    <t>NN233OO</t>
    <phoneticPr fontId="8"/>
  </si>
  <si>
    <t>AA350PQ</t>
    <phoneticPr fontId="8"/>
  </si>
  <si>
    <t>DD087RS</t>
    <phoneticPr fontId="8"/>
  </si>
  <si>
    <t>TT006UV</t>
    <phoneticPr fontId="8"/>
  </si>
  <si>
    <t>KK026LM</t>
  </si>
  <si>
    <t>電気</t>
  </si>
  <si>
    <t>灯油</t>
  </si>
  <si>
    <t>KK233WXY</t>
    <phoneticPr fontId="8"/>
  </si>
  <si>
    <t>ZZ233AB</t>
    <phoneticPr fontId="8"/>
  </si>
  <si>
    <t>【記入例】コンプレッサーの更新</t>
    <phoneticPr fontId="8"/>
  </si>
  <si>
    <t>IE4</t>
  </si>
  <si>
    <t>2極</t>
  </si>
  <si>
    <t>【記入例】変圧器の更新</t>
    <rPh sb="5" eb="8">
      <t>ヘンアツキ</t>
    </rPh>
    <rPh sb="9" eb="11">
      <t>コウシン</t>
    </rPh>
    <phoneticPr fontId="8"/>
  </si>
  <si>
    <t>6.6kV→210V</t>
  </si>
  <si>
    <t>単相</t>
  </si>
  <si>
    <t>6.6KV→210/105V</t>
  </si>
  <si>
    <t>三相</t>
  </si>
  <si>
    <t>※必要に応じて記載（本欄に上書き）してください。</t>
    <phoneticPr fontId="8"/>
  </si>
  <si>
    <t>動力、150KVA</t>
    <phoneticPr fontId="8"/>
  </si>
  <si>
    <t>電灯、30KVA</t>
    <rPh sb="0" eb="2">
      <t>デントウ</t>
    </rPh>
    <phoneticPr fontId="8"/>
  </si>
  <si>
    <t>AB-1C</t>
    <phoneticPr fontId="8"/>
  </si>
  <si>
    <t>DE-3F</t>
    <phoneticPr fontId="8"/>
  </si>
  <si>
    <t>AC-123CD</t>
    <phoneticPr fontId="8"/>
  </si>
  <si>
    <t>EF-456GH</t>
    <phoneticPr fontId="8"/>
  </si>
  <si>
    <t>JK-789LMN</t>
    <phoneticPr fontId="8"/>
  </si>
  <si>
    <t>OP-12QR</t>
    <phoneticPr fontId="8"/>
  </si>
  <si>
    <t>ST-4UV</t>
    <phoneticPr fontId="8"/>
  </si>
  <si>
    <t>WX-56YZ</t>
    <phoneticPr fontId="8"/>
  </si>
  <si>
    <t>原油換算削減量</t>
    <rPh sb="2" eb="4">
      <t>カンサン</t>
    </rPh>
    <phoneticPr fontId="8"/>
  </si>
  <si>
    <t>※事業計画書の削減効果は、算定総括の削減量（黄色のセル）の値を反映してください。</t>
    <rPh sb="1" eb="6">
      <t>ジギョウケイカクショ</t>
    </rPh>
    <rPh sb="7" eb="11">
      <t>サクゲンコウカ</t>
    </rPh>
    <rPh sb="13" eb="15">
      <t>サンテイ</t>
    </rPh>
    <rPh sb="29" eb="30">
      <t>アタイ</t>
    </rPh>
    <rPh sb="31" eb="33">
      <t>ハンエイ</t>
    </rPh>
    <phoneticPr fontId="8"/>
  </si>
  <si>
    <t>照明の更新</t>
    <phoneticPr fontId="8"/>
  </si>
  <si>
    <t>人感センサ有無</t>
    <rPh sb="0" eb="2">
      <t>ジンカン</t>
    </rPh>
    <rPh sb="5" eb="7">
      <t>ウム</t>
    </rPh>
    <phoneticPr fontId="8"/>
  </si>
  <si>
    <t>原油換算削減量</t>
  </si>
  <si>
    <t>原油換算削減量</t>
    <rPh sb="0" eb="2">
      <t>ゲンユ</t>
    </rPh>
    <rPh sb="2" eb="4">
      <t>カンサン</t>
    </rPh>
    <rPh sb="4" eb="6">
      <t>サクゲン</t>
    </rPh>
    <rPh sb="6" eb="7">
      <t>リョウ</t>
    </rPh>
    <phoneticPr fontId="8"/>
  </si>
  <si>
    <t>事項</t>
    <rPh sb="0" eb="2">
      <t>ジコウ</t>
    </rPh>
    <phoneticPr fontId="8"/>
  </si>
  <si>
    <t>シート</t>
    <phoneticPr fontId="8"/>
  </si>
  <si>
    <t>セル</t>
    <phoneticPr fontId="8"/>
  </si>
  <si>
    <t>修正</t>
    <rPh sb="0" eb="2">
      <t>シュウセイ</t>
    </rPh>
    <phoneticPr fontId="8"/>
  </si>
  <si>
    <t>エネルギー使用量</t>
    <phoneticPr fontId="8"/>
  </si>
  <si>
    <t>問題点</t>
    <rPh sb="0" eb="3">
      <t>モンダイテン</t>
    </rPh>
    <phoneticPr fontId="8"/>
  </si>
  <si>
    <t>更新・修正内容</t>
    <rPh sb="0" eb="2">
      <t>コウシン</t>
    </rPh>
    <rPh sb="3" eb="5">
      <t>シュウセイ</t>
    </rPh>
    <rPh sb="5" eb="7">
      <t>ナイヨウ</t>
    </rPh>
    <phoneticPr fontId="8"/>
  </si>
  <si>
    <t>備考</t>
    <rPh sb="0" eb="2">
      <t>ビコウ</t>
    </rPh>
    <phoneticPr fontId="8"/>
  </si>
  <si>
    <t>「参考_エネルギー使用量」と改題され、シート右手側へ移動していた。</t>
    <rPh sb="1" eb="3">
      <t>サンコウ</t>
    </rPh>
    <rPh sb="9" eb="12">
      <t>シヨウリョウ</t>
    </rPh>
    <rPh sb="14" eb="16">
      <t>カイダイ</t>
    </rPh>
    <rPh sb="22" eb="25">
      <t>ミギテガワ</t>
    </rPh>
    <rPh sb="26" eb="28">
      <t>イドウ</t>
    </rPh>
    <phoneticPr fontId="8"/>
  </si>
  <si>
    <t>「エネルギー使用量」とシート名を改め、一番左手の初めのシートへ移動した。</t>
    <rPh sb="14" eb="15">
      <t>メイ</t>
    </rPh>
    <rPh sb="16" eb="17">
      <t>アラタ</t>
    </rPh>
    <rPh sb="19" eb="23">
      <t>イチバンヒダリテ</t>
    </rPh>
    <rPh sb="24" eb="25">
      <t>ハジ</t>
    </rPh>
    <rPh sb="31" eb="33">
      <t>イドウ</t>
    </rPh>
    <phoneticPr fontId="8"/>
  </si>
  <si>
    <t>年月日</t>
    <rPh sb="0" eb="3">
      <t>ネンガッピ</t>
    </rPh>
    <phoneticPr fontId="8"/>
  </si>
  <si>
    <t>全般</t>
    <rPh sb="0" eb="2">
      <t>ゼンパン</t>
    </rPh>
    <phoneticPr fontId="8"/>
  </si>
  <si>
    <t>M529（照明）</t>
    <rPh sb="5" eb="7">
      <t>ショウメイ</t>
    </rPh>
    <phoneticPr fontId="8"/>
  </si>
  <si>
    <t>B7（照明）</t>
    <rPh sb="3" eb="5">
      <t>ショウメイ</t>
    </rPh>
    <phoneticPr fontId="8"/>
  </si>
  <si>
    <t>更新</t>
    <rPh sb="0" eb="2">
      <t>コウシン</t>
    </rPh>
    <phoneticPr fontId="8"/>
  </si>
  <si>
    <t>空調負荷率</t>
    <phoneticPr fontId="8"/>
  </si>
  <si>
    <t>R10～29
AB10～29</t>
    <phoneticPr fontId="8"/>
  </si>
  <si>
    <t>参考元の「SII」算定では負荷率が「0」の月があり、負荷率0の月は日数が加味されない（削減効果に加味しない）仕様だった。</t>
    <rPh sb="0" eb="3">
      <t>サンコウモト</t>
    </rPh>
    <rPh sb="9" eb="11">
      <t>サンテイ</t>
    </rPh>
    <rPh sb="13" eb="15">
      <t>フカ</t>
    </rPh>
    <rPh sb="15" eb="16">
      <t>リツ</t>
    </rPh>
    <rPh sb="21" eb="22">
      <t>ツキ</t>
    </rPh>
    <rPh sb="26" eb="28">
      <t>フカ</t>
    </rPh>
    <rPh sb="28" eb="29">
      <t>リツ</t>
    </rPh>
    <rPh sb="31" eb="32">
      <t>ツキ</t>
    </rPh>
    <rPh sb="33" eb="35">
      <t>ニッスウ</t>
    </rPh>
    <rPh sb="36" eb="38">
      <t>カミ</t>
    </rPh>
    <rPh sb="43" eb="45">
      <t>サクゲン</t>
    </rPh>
    <rPh sb="45" eb="47">
      <t>コウカ</t>
    </rPh>
    <rPh sb="48" eb="50">
      <t>カミ</t>
    </rPh>
    <rPh sb="54" eb="56">
      <t>シヨウ</t>
    </rPh>
    <phoneticPr fontId="8"/>
  </si>
  <si>
    <t>I34～52</t>
    <phoneticPr fontId="8"/>
  </si>
  <si>
    <t>I32
Y32
など</t>
    <phoneticPr fontId="8"/>
  </si>
  <si>
    <t>加味していなかった日数が削減効果に加わるよう、該当列にその日数を追加。（90日なら、月毎に振り分けず、1セルに追加。）</t>
    <rPh sb="0" eb="2">
      <t>カミ</t>
    </rPh>
    <rPh sb="9" eb="11">
      <t>ニッスウ</t>
    </rPh>
    <rPh sb="12" eb="16">
      <t>サクゲンコウカ</t>
    </rPh>
    <rPh sb="17" eb="18">
      <t>クワ</t>
    </rPh>
    <rPh sb="23" eb="26">
      <t>ガイトウレツ</t>
    </rPh>
    <rPh sb="29" eb="31">
      <t>ニッスウ</t>
    </rPh>
    <rPh sb="32" eb="34">
      <t>ツイカ</t>
    </rPh>
    <rPh sb="38" eb="39">
      <t>ニチ</t>
    </rPh>
    <rPh sb="42" eb="44">
      <t>ツキゴト</t>
    </rPh>
    <rPh sb="45" eb="46">
      <t>フ</t>
    </rPh>
    <rPh sb="47" eb="48">
      <t>ワ</t>
    </rPh>
    <rPh sb="55" eb="57">
      <t>ツイカ</t>
    </rPh>
    <phoneticPr fontId="8"/>
  </si>
  <si>
    <t>空調シートにて「台数×定格消費×日使用時間」と計算した値を転記する列の項目名を「乗算」としていたが、何を指して乗算なのか分かり辛かった。</t>
    <rPh sb="0" eb="2">
      <t>クウチョウ</t>
    </rPh>
    <rPh sb="23" eb="25">
      <t>ケイサン</t>
    </rPh>
    <rPh sb="27" eb="28">
      <t>アタイ</t>
    </rPh>
    <rPh sb="29" eb="31">
      <t>テンキ</t>
    </rPh>
    <rPh sb="33" eb="34">
      <t>レツ</t>
    </rPh>
    <rPh sb="35" eb="38">
      <t>コウモクメイ</t>
    </rPh>
    <rPh sb="40" eb="42">
      <t>ジョウザン</t>
    </rPh>
    <rPh sb="50" eb="51">
      <t>ナニ</t>
    </rPh>
    <rPh sb="52" eb="53">
      <t>サ</t>
    </rPh>
    <rPh sb="55" eb="57">
      <t>ジョウザン</t>
    </rPh>
    <rPh sb="60" eb="61">
      <t>ワ</t>
    </rPh>
    <rPh sb="63" eb="64">
      <t>ヅラ</t>
    </rPh>
    <phoneticPr fontId="8"/>
  </si>
  <si>
    <t>項目名を「転記」と改めた。</t>
    <rPh sb="0" eb="3">
      <t>コウモクメイ</t>
    </rPh>
    <rPh sb="5" eb="7">
      <t>テンキ</t>
    </rPh>
    <rPh sb="9" eb="10">
      <t>アラタ</t>
    </rPh>
    <phoneticPr fontId="8"/>
  </si>
  <si>
    <t>I33～52にて数式に抜けがあり、I33だけしか修正されていなかった。</t>
    <rPh sb="8" eb="10">
      <t>スウシキ</t>
    </rPh>
    <rPh sb="11" eb="12">
      <t>ヌ</t>
    </rPh>
    <rPh sb="24" eb="26">
      <t>シュウセイ</t>
    </rPh>
    <phoneticPr fontId="8"/>
  </si>
  <si>
    <t>I34～52へI33の修正を反映</t>
    <rPh sb="11" eb="13">
      <t>シュウセイ</t>
    </rPh>
    <rPh sb="14" eb="16">
      <t>ハンエイ</t>
    </rPh>
    <phoneticPr fontId="8"/>
  </si>
  <si>
    <t>Z94～AK98</t>
    <phoneticPr fontId="8"/>
  </si>
  <si>
    <t>数式の参照先の1つがずれていて、例えばY94からI94に参照がずれていた。（暖房の計算要素を参照すべきところ、冷房の同要素を参照していた。）</t>
    <rPh sb="0" eb="2">
      <t>スウシキ</t>
    </rPh>
    <rPh sb="3" eb="6">
      <t>サンショウサキ</t>
    </rPh>
    <rPh sb="16" eb="17">
      <t>タト</t>
    </rPh>
    <rPh sb="28" eb="30">
      <t>サンショウ</t>
    </rPh>
    <rPh sb="38" eb="40">
      <t>ダンボウ</t>
    </rPh>
    <rPh sb="41" eb="45">
      <t>ケイサンヨウソ</t>
    </rPh>
    <rPh sb="46" eb="48">
      <t>サンショウ</t>
    </rPh>
    <rPh sb="55" eb="57">
      <t>レイボウ</t>
    </rPh>
    <rPh sb="58" eb="59">
      <t>ドウ</t>
    </rPh>
    <rPh sb="59" eb="61">
      <t>ヨウソ</t>
    </rPh>
    <rPh sb="62" eb="64">
      <t>サンショウ</t>
    </rPh>
    <phoneticPr fontId="8"/>
  </si>
  <si>
    <t>正しい参照先へ修正。</t>
    <rPh sb="0" eb="1">
      <t>タダ</t>
    </rPh>
    <rPh sb="3" eb="6">
      <t>サンショウサキ</t>
    </rPh>
    <rPh sb="7" eb="9">
      <t>シュウセイ</t>
    </rPh>
    <phoneticPr fontId="8"/>
  </si>
  <si>
    <t>AU32～BY52
AU55～BY75</t>
    <phoneticPr fontId="8"/>
  </si>
  <si>
    <t>「APFでの削減効果」について、2024年度の仕様だと劣化率が大きく加味される仕様だった。</t>
    <rPh sb="6" eb="8">
      <t>サクゲン</t>
    </rPh>
    <rPh sb="8" eb="10">
      <t>コウカ</t>
    </rPh>
    <rPh sb="20" eb="22">
      <t>ネンド</t>
    </rPh>
    <rPh sb="23" eb="25">
      <t>シヨウ</t>
    </rPh>
    <rPh sb="27" eb="30">
      <t>レッカリツ</t>
    </rPh>
    <rPh sb="31" eb="32">
      <t>オオ</t>
    </rPh>
    <rPh sb="34" eb="36">
      <t>カミ</t>
    </rPh>
    <rPh sb="39" eb="41">
      <t>シヨウ</t>
    </rPh>
    <phoneticPr fontId="8"/>
  </si>
  <si>
    <t>削減効果の算定式
2024仕様：更新前消費電力×（1-（更新前APF÷劣化率）÷更新後APF）
2025仕様：更新前消費電力×劣化率×（1-更新前APF÷更新後APF）</t>
    <rPh sb="0" eb="4">
      <t>サクゲンコウカ</t>
    </rPh>
    <rPh sb="5" eb="8">
      <t>サンテイシキ</t>
    </rPh>
    <rPh sb="13" eb="15">
      <t>シヨウ</t>
    </rPh>
    <rPh sb="16" eb="19">
      <t>コウシンマエ</t>
    </rPh>
    <rPh sb="19" eb="23">
      <t>ショウヒデンリョク</t>
    </rPh>
    <rPh sb="28" eb="31">
      <t>コウシンマエ</t>
    </rPh>
    <rPh sb="35" eb="38">
      <t>レッカリツ</t>
    </rPh>
    <rPh sb="40" eb="43">
      <t>コウシンゴ</t>
    </rPh>
    <rPh sb="63" eb="66">
      <t>レッカリツ</t>
    </rPh>
    <rPh sb="70" eb="73">
      <t>コウシンマエ</t>
    </rPh>
    <rPh sb="77" eb="80">
      <t>コウシンゴ</t>
    </rPh>
    <phoneticPr fontId="8"/>
  </si>
  <si>
    <t>劣化率の影響が小さい算定式へ改修。</t>
    <rPh sb="0" eb="3">
      <t>レッカリツ</t>
    </rPh>
    <rPh sb="4" eb="6">
      <t>エイキョウ</t>
    </rPh>
    <rPh sb="7" eb="8">
      <t>チイ</t>
    </rPh>
    <rPh sb="10" eb="13">
      <t>サンテイシキ</t>
    </rPh>
    <rPh sb="14" eb="16">
      <t>カイシュウ</t>
    </rPh>
    <phoneticPr fontId="8"/>
  </si>
  <si>
    <t>冷房</t>
    <rPh sb="0" eb="2">
      <t>レイボウ</t>
    </rPh>
    <phoneticPr fontId="8"/>
  </si>
  <si>
    <t>暖房</t>
    <rPh sb="0" eb="2">
      <t>ダンボウ</t>
    </rPh>
    <phoneticPr fontId="8"/>
  </si>
  <si>
    <t>負荷率（年間）</t>
    <rPh sb="0" eb="3">
      <t>フカリツ</t>
    </rPh>
    <rPh sb="4" eb="6">
      <t>ネンカン</t>
    </rPh>
    <phoneticPr fontId="8"/>
  </si>
  <si>
    <t>空調</t>
    <rPh sb="0" eb="2">
      <t>クウチョウ</t>
    </rPh>
    <phoneticPr fontId="8"/>
  </si>
  <si>
    <t>I14～J16
I53～J55</t>
    <phoneticPr fontId="8"/>
  </si>
  <si>
    <t>空調負荷率は別シートの「空調負荷率（非公開）」で計算する仕様に変更していて、制度側でしか変更できない仕様だった。</t>
    <rPh sb="0" eb="2">
      <t>クウチョウ</t>
    </rPh>
    <rPh sb="2" eb="5">
      <t>フカリツ</t>
    </rPh>
    <rPh sb="6" eb="7">
      <t>ベツ</t>
    </rPh>
    <rPh sb="12" eb="17">
      <t>クウチョウフカリツ</t>
    </rPh>
    <rPh sb="18" eb="21">
      <t>ヒコウカイ</t>
    </rPh>
    <rPh sb="24" eb="26">
      <t>ケイサン</t>
    </rPh>
    <rPh sb="28" eb="30">
      <t>シヨウ</t>
    </rPh>
    <rPh sb="31" eb="33">
      <t>ヘンコウ</t>
    </rPh>
    <rPh sb="38" eb="41">
      <t>セイドガワ</t>
    </rPh>
    <rPh sb="44" eb="46">
      <t>ヘンコウ</t>
    </rPh>
    <rPh sb="50" eb="52">
      <t>シヨウ</t>
    </rPh>
    <phoneticPr fontId="8"/>
  </si>
  <si>
    <t>空調シートに負荷率の記載欄を再実装し、記入例等も追加した。</t>
    <rPh sb="0" eb="2">
      <t>クウチョウ</t>
    </rPh>
    <rPh sb="6" eb="9">
      <t>フカリツ</t>
    </rPh>
    <rPh sb="10" eb="13">
      <t>キサイラン</t>
    </rPh>
    <rPh sb="14" eb="17">
      <t>サイジッソウ</t>
    </rPh>
    <rPh sb="19" eb="23">
      <t>キニュウレイトウ</t>
    </rPh>
    <rPh sb="24" eb="26">
      <t>ツイカ</t>
    </rPh>
    <phoneticPr fontId="8"/>
  </si>
  <si>
    <t>併せて、「シート空調負荷率：セル4～5行目、負荷率の欄」にて、空調シートの負荷率を参照する数式に更新しました。</t>
    <rPh sb="0" eb="1">
      <t>アワ</t>
    </rPh>
    <rPh sb="19" eb="21">
      <t>ギョウメ</t>
    </rPh>
    <rPh sb="22" eb="25">
      <t>フカリツ</t>
    </rPh>
    <rPh sb="26" eb="27">
      <t>ラン</t>
    </rPh>
    <rPh sb="31" eb="33">
      <t>クウチョウ</t>
    </rPh>
    <rPh sb="37" eb="40">
      <t>フカリツ</t>
    </rPh>
    <rPh sb="41" eb="43">
      <t>サンショウ</t>
    </rPh>
    <rPh sb="45" eb="47">
      <t>スウシキ</t>
    </rPh>
    <rPh sb="48" eb="50">
      <t>コウシン</t>
    </rPh>
    <phoneticPr fontId="8"/>
  </si>
  <si>
    <t>O13</t>
    <phoneticPr fontId="8"/>
  </si>
  <si>
    <t>ボイラー・給湯器</t>
    <rPh sb="5" eb="8">
      <t>キュウトウキ</t>
    </rPh>
    <phoneticPr fontId="8"/>
  </si>
  <si>
    <t>負荷率の定義づけがされていなかった。</t>
    <rPh sb="0" eb="3">
      <t>フカリツ</t>
    </rPh>
    <rPh sb="4" eb="6">
      <t>テイギ</t>
    </rPh>
    <phoneticPr fontId="8"/>
  </si>
  <si>
    <t>記入例として、負荷率の求め方（定義づけ）を追加した。</t>
    <rPh sb="0" eb="3">
      <t>キニュウレイ</t>
    </rPh>
    <rPh sb="7" eb="10">
      <t>フカリツ</t>
    </rPh>
    <rPh sb="11" eb="12">
      <t>モト</t>
    </rPh>
    <rPh sb="13" eb="14">
      <t>カタ</t>
    </rPh>
    <rPh sb="15" eb="17">
      <t>テイギ</t>
    </rPh>
    <rPh sb="21" eb="23">
      <t>ツイカ</t>
    </rPh>
    <phoneticPr fontId="8"/>
  </si>
  <si>
    <t>コンプレッサー</t>
    <phoneticPr fontId="8"/>
  </si>
  <si>
    <t>K59</t>
    <phoneticPr fontId="8"/>
  </si>
  <si>
    <t>ボイラー・給湯</t>
    <rPh sb="5" eb="7">
      <t>キュウトウ</t>
    </rPh>
    <phoneticPr fontId="8"/>
  </si>
  <si>
    <t>原油換算量</t>
  </si>
  <si>
    <t>原油換算量</t>
    <phoneticPr fontId="8"/>
  </si>
  <si>
    <t>排出量の原油換算を指す項目名が「原油換算量」や「原油換算エネルギー使用量」、「原油削減量」など、表記ブレや誤表記があった。</t>
    <rPh sb="0" eb="3">
      <t>ハイシュツリョウ</t>
    </rPh>
    <rPh sb="4" eb="8">
      <t>ゲンユカンサン</t>
    </rPh>
    <rPh sb="9" eb="10">
      <t>サ</t>
    </rPh>
    <rPh sb="11" eb="14">
      <t>コウモクメイ</t>
    </rPh>
    <rPh sb="24" eb="28">
      <t>ゲンユカンサン</t>
    </rPh>
    <rPh sb="33" eb="36">
      <t>シヨウリョウ</t>
    </rPh>
    <rPh sb="48" eb="50">
      <t>ヒョウキ</t>
    </rPh>
    <rPh sb="53" eb="56">
      <t>ゴヒョウキ</t>
    </rPh>
    <phoneticPr fontId="8"/>
  </si>
  <si>
    <t>削減効果の総括の欄の項目名が「原油換算エネルギー使用量」となっており、同項目を指す「原油換算量」と表記ブレしていた。</t>
    <rPh sb="0" eb="4">
      <t>サクゲンコウカ</t>
    </rPh>
    <rPh sb="5" eb="7">
      <t>ソウカツ</t>
    </rPh>
    <rPh sb="8" eb="9">
      <t>ラン</t>
    </rPh>
    <rPh sb="10" eb="13">
      <t>コウモクメイ</t>
    </rPh>
    <rPh sb="35" eb="38">
      <t>ドウコウモク</t>
    </rPh>
    <rPh sb="39" eb="40">
      <t>サ</t>
    </rPh>
    <rPh sb="49" eb="51">
      <t>ヒョウキ</t>
    </rPh>
    <phoneticPr fontId="8"/>
  </si>
  <si>
    <t>「原油換算排出量」へ統一するよう修正。</t>
    <rPh sb="5" eb="7">
      <t>ハイシュツ</t>
    </rPh>
    <rPh sb="10" eb="12">
      <t>トウイツ</t>
    </rPh>
    <rPh sb="16" eb="18">
      <t>シュウセイ</t>
    </rPh>
    <phoneticPr fontId="8"/>
  </si>
  <si>
    <t>「原油換算排出量」へ統一するよう修正。</t>
    <rPh sb="5" eb="8">
      <t>ハイシュツリョウ</t>
    </rPh>
    <rPh sb="10" eb="12">
      <t>トウイツ</t>
    </rPh>
    <rPh sb="16" eb="18">
      <t>シュウセイ</t>
    </rPh>
    <phoneticPr fontId="8"/>
  </si>
  <si>
    <t>係数</t>
    <rPh sb="0" eb="2">
      <t>ケイスウ</t>
    </rPh>
    <phoneticPr fontId="8"/>
  </si>
  <si>
    <t>C列</t>
    <rPh sb="1" eb="2">
      <t>レツ</t>
    </rPh>
    <phoneticPr fontId="8"/>
  </si>
  <si>
    <t>単位発熱量に2024年改定前の古いものがあった。</t>
    <rPh sb="0" eb="5">
      <t>タンイハツネツリョウ</t>
    </rPh>
    <rPh sb="10" eb="11">
      <t>ネン</t>
    </rPh>
    <rPh sb="11" eb="14">
      <t>カイテイマエ</t>
    </rPh>
    <rPh sb="15" eb="16">
      <t>フル</t>
    </rPh>
    <phoneticPr fontId="8"/>
  </si>
  <si>
    <t>全般</t>
    <rPh sb="0" eb="2">
      <t>ゼンパン</t>
    </rPh>
    <phoneticPr fontId="8"/>
  </si>
  <si>
    <t>照明B7等</t>
    <rPh sb="0" eb="2">
      <t>ショウメイ</t>
    </rPh>
    <rPh sb="4" eb="5">
      <t>ナド</t>
    </rPh>
    <phoneticPr fontId="8"/>
  </si>
  <si>
    <t>「原油換算排出量」という表現は適切と言い難かった。</t>
    <rPh sb="12" eb="14">
      <t>ヒョウゲン</t>
    </rPh>
    <rPh sb="15" eb="17">
      <t>テキセツ</t>
    </rPh>
    <rPh sb="18" eb="19">
      <t>イ</t>
    </rPh>
    <rPh sb="20" eb="21">
      <t>ガタ</t>
    </rPh>
    <phoneticPr fontId="8"/>
  </si>
  <si>
    <t>「原油換算量」へ統一して修正。</t>
    <rPh sb="1" eb="6">
      <t>ゲンユカンサンリョウ</t>
    </rPh>
    <phoneticPr fontId="8"/>
  </si>
  <si>
    <t>ボイラー・給湯器</t>
    <phoneticPr fontId="8"/>
  </si>
  <si>
    <t>AG列</t>
    <rPh sb="2" eb="3">
      <t>レツ</t>
    </rPh>
    <phoneticPr fontId="8"/>
  </si>
  <si>
    <t>年間稼働時間(t')</t>
    <rPh sb="0" eb="2">
      <t>ネンカン</t>
    </rPh>
    <rPh sb="2" eb="4">
      <t>カドウ</t>
    </rPh>
    <phoneticPr fontId="8"/>
  </si>
  <si>
    <t>書式設定が「ユーザー定義の％表示」になっており、例えば2000％といった表示になっていた。</t>
    <rPh sb="0" eb="4">
      <t>ショシキセッテイ</t>
    </rPh>
    <rPh sb="10" eb="12">
      <t>テイギ</t>
    </rPh>
    <rPh sb="14" eb="16">
      <t>ヒョウジ</t>
    </rPh>
    <rPh sb="24" eb="25">
      <t>タト</t>
    </rPh>
    <rPh sb="36" eb="38">
      <t>ヒョウジ</t>
    </rPh>
    <phoneticPr fontId="8"/>
  </si>
  <si>
    <t>書式設定を「パーセント」表記に修正した。</t>
    <rPh sb="0" eb="4">
      <t>ショシキセッテイ</t>
    </rPh>
    <rPh sb="12" eb="14">
      <t>ヒョウキ</t>
    </rPh>
    <rPh sb="15" eb="17">
      <t>シュウセイ</t>
    </rPh>
    <phoneticPr fontId="8"/>
  </si>
  <si>
    <t>kcal</t>
    <phoneticPr fontId="8"/>
  </si>
  <si>
    <t>kW</t>
    <phoneticPr fontId="8"/>
  </si>
  <si>
    <t>参考：kcal→kW換算</t>
    <rPh sb="0" eb="2">
      <t>サンコウ</t>
    </rPh>
    <rPh sb="10" eb="12">
      <t>カンサン</t>
    </rPh>
    <phoneticPr fontId="8"/>
  </si>
  <si>
    <t>1kcal/h=1.163W</t>
    <phoneticPr fontId="8"/>
  </si>
  <si>
    <t>修正</t>
    <rPh sb="0" eb="2">
      <t>シュウセイ</t>
    </rPh>
    <phoneticPr fontId="8"/>
  </si>
  <si>
    <t>変圧器</t>
    <rPh sb="0" eb="3">
      <t>ヘンアツキ</t>
    </rPh>
    <phoneticPr fontId="8"/>
  </si>
  <si>
    <t>W列</t>
    <rPh sb="1" eb="2">
      <t>レツ</t>
    </rPh>
    <phoneticPr fontId="8"/>
  </si>
  <si>
    <t>更新後の年間仕様時間（日使用×年一数）の参照先が、更新前の年使用日数に参照先がずれていた。</t>
    <rPh sb="0" eb="3">
      <t>コウシンゴ</t>
    </rPh>
    <rPh sb="4" eb="6">
      <t>ネンカン</t>
    </rPh>
    <rPh sb="6" eb="8">
      <t>シヨウ</t>
    </rPh>
    <rPh sb="8" eb="10">
      <t>ジカン</t>
    </rPh>
    <rPh sb="11" eb="12">
      <t>ヒ</t>
    </rPh>
    <rPh sb="12" eb="14">
      <t>シヨウ</t>
    </rPh>
    <rPh sb="15" eb="16">
      <t>ネン</t>
    </rPh>
    <rPh sb="16" eb="17">
      <t>イチ</t>
    </rPh>
    <rPh sb="17" eb="18">
      <t>スウ</t>
    </rPh>
    <rPh sb="20" eb="23">
      <t>サンショウサキ</t>
    </rPh>
    <rPh sb="25" eb="28">
      <t>コウシンマエ</t>
    </rPh>
    <rPh sb="29" eb="34">
      <t>ネンシヨウニッスウ</t>
    </rPh>
    <rPh sb="35" eb="38">
      <t>サンショウサキ</t>
    </rPh>
    <phoneticPr fontId="8"/>
  </si>
  <si>
    <t>「更新後の年間仕様時間＝更新前の年間仕様時間」へ参照先を修正。</t>
    <rPh sb="14" eb="15">
      <t>マエ</t>
    </rPh>
    <rPh sb="24" eb="27">
      <t>サンショウサキ</t>
    </rPh>
    <rPh sb="28" eb="30">
      <t>シュウセイ</t>
    </rPh>
    <phoneticPr fontId="8"/>
  </si>
  <si>
    <t>空調</t>
    <rPh sb="0" eb="2">
      <t>クウチョウ</t>
    </rPh>
    <phoneticPr fontId="8"/>
  </si>
  <si>
    <t>I4～J7</t>
    <phoneticPr fontId="8"/>
  </si>
  <si>
    <t>kcal→kW換算を提示しておらず、申請書類にて誤っているケースがあった。</t>
    <rPh sb="7" eb="9">
      <t>カンサン</t>
    </rPh>
    <rPh sb="10" eb="12">
      <t>テイジ</t>
    </rPh>
    <rPh sb="18" eb="22">
      <t>シンセイショルイ</t>
    </rPh>
    <rPh sb="24" eb="25">
      <t>アヤマ</t>
    </rPh>
    <phoneticPr fontId="8"/>
  </si>
  <si>
    <t>kcal→kWの換算式（表）を追加。</t>
    <rPh sb="8" eb="10">
      <t>カンサン</t>
    </rPh>
    <rPh sb="10" eb="11">
      <t>シキ</t>
    </rPh>
    <rPh sb="12" eb="13">
      <t>ヒョウ</t>
    </rPh>
    <rPh sb="15" eb="17">
      <t>ツイカ</t>
    </rPh>
    <phoneticPr fontId="8"/>
  </si>
  <si>
    <t>文言が少なく「事業所のエネルギー使用量」の記載が必要と分かり辛かった。</t>
    <rPh sb="0" eb="2">
      <t>モンゴン</t>
    </rPh>
    <rPh sb="3" eb="4">
      <t>スク</t>
    </rPh>
    <rPh sb="7" eb="10">
      <t>ジギョウショ</t>
    </rPh>
    <rPh sb="16" eb="19">
      <t>シヨウリョウ</t>
    </rPh>
    <rPh sb="21" eb="23">
      <t>キサイ</t>
    </rPh>
    <rPh sb="24" eb="26">
      <t>ヒツヨウ</t>
    </rPh>
    <rPh sb="27" eb="28">
      <t>ワ</t>
    </rPh>
    <rPh sb="30" eb="31">
      <t>ヅラ</t>
    </rPh>
    <phoneticPr fontId="8"/>
  </si>
  <si>
    <t>「記入必須：事業所のエネルギー使用量」など文言の修正や、要点を太字に修正した。</t>
    <rPh sb="1" eb="5">
      <t>キニュウヒッス</t>
    </rPh>
    <rPh sb="6" eb="9">
      <t>ジギョウショ</t>
    </rPh>
    <rPh sb="15" eb="18">
      <t>シヨウリョウ</t>
    </rPh>
    <rPh sb="21" eb="23">
      <t>モンゴン</t>
    </rPh>
    <rPh sb="24" eb="26">
      <t>シュウセイ</t>
    </rPh>
    <rPh sb="28" eb="30">
      <t>ヨウテン</t>
    </rPh>
    <rPh sb="31" eb="33">
      <t>フトジ</t>
    </rPh>
    <rPh sb="34" eb="36">
      <t>シュウセイ</t>
    </rPh>
    <phoneticPr fontId="8"/>
  </si>
  <si>
    <t>I6</t>
    <phoneticPr fontId="8"/>
  </si>
  <si>
    <t>C4</t>
    <phoneticPr fontId="8"/>
  </si>
  <si>
    <t>「kcal→kW」換算の表を追加したが、セルの保護ロックを解除しておらず、記入できなかった。</t>
    <rPh sb="9" eb="11">
      <t>カンサン</t>
    </rPh>
    <rPh sb="12" eb="13">
      <t>ヒョウ</t>
    </rPh>
    <rPh sb="14" eb="16">
      <t>ツイカ</t>
    </rPh>
    <rPh sb="23" eb="25">
      <t>ホゴ</t>
    </rPh>
    <rPh sb="29" eb="31">
      <t>カイジョ</t>
    </rPh>
    <rPh sb="37" eb="39">
      <t>キニュウ</t>
    </rPh>
    <phoneticPr fontId="8"/>
  </si>
  <si>
    <t>該当セルI6の保護を解除した。</t>
    <rPh sb="0" eb="2">
      <t>ガイトウ</t>
    </rPh>
    <rPh sb="7" eb="9">
      <t>ホゴ</t>
    </rPh>
    <rPh sb="10" eb="12">
      <t>カイジョ</t>
    </rPh>
    <phoneticPr fontId="8"/>
  </si>
  <si>
    <t>照明：B15など</t>
    <rPh sb="0" eb="2">
      <t>ショウメイ</t>
    </rPh>
    <phoneticPr fontId="8"/>
  </si>
  <si>
    <t>記入例へのハイパーリンクを設けていたが、リンクのアドレスが失効していた。</t>
    <rPh sb="0" eb="3">
      <t>キニュウレイ</t>
    </rPh>
    <rPh sb="13" eb="14">
      <t>モウ</t>
    </rPh>
    <rPh sb="29" eb="31">
      <t>シッコウ</t>
    </rPh>
    <phoneticPr fontId="8"/>
  </si>
  <si>
    <t>リンクを再設定したほか、表示に「B15」など該当セルを記載した。</t>
    <rPh sb="4" eb="7">
      <t>サイセッテイ</t>
    </rPh>
    <rPh sb="12" eb="14">
      <t>ヒョウジ</t>
    </rPh>
    <rPh sb="22" eb="24">
      <t>ガイトウ</t>
    </rPh>
    <rPh sb="27" eb="29">
      <t>キサイ</t>
    </rPh>
    <phoneticPr fontId="8"/>
  </si>
  <si>
    <t>https://www.enecho.meti.go.jp/category/saving_and_new/saving/enterprise/equipment/toprunner/10_reizoko.html</t>
    <phoneticPr fontId="8"/>
  </si>
  <si>
    <t>トップランナー制度（10 電気冷蔵庫）</t>
    <rPh sb="7" eb="9">
      <t>セイド</t>
    </rPh>
    <rPh sb="13" eb="15">
      <t>デンキ</t>
    </rPh>
    <rPh sb="15" eb="18">
      <t>レイゾウコ</t>
    </rPh>
    <phoneticPr fontId="8"/>
  </si>
  <si>
    <t>https://www.enecho.meti.go.jp/category/saving_and_new/saving/enterprise/equipment/toprunner/11_reitoko.html</t>
    <phoneticPr fontId="8"/>
  </si>
  <si>
    <t>『(Ⅲ)設備単位型』補助対象（冷凍冷蔵設備）</t>
    <rPh sb="15" eb="21">
      <t>レイトウレイゾウセツビ</t>
    </rPh>
    <phoneticPr fontId="8"/>
  </si>
  <si>
    <t>冷凍室容積</t>
  </si>
  <si>
    <t>冷凍室容積</t>
    <phoneticPr fontId="8"/>
  </si>
  <si>
    <t>冷蔵室容積</t>
  </si>
  <si>
    <t>冷蔵室容積</t>
    <phoneticPr fontId="8"/>
  </si>
  <si>
    <t>L/台</t>
    <rPh sb="2" eb="3">
      <t>ダイ</t>
    </rPh>
    <phoneticPr fontId="8"/>
  </si>
  <si>
    <t>トップランナー制度（11 電気冷凍庫）</t>
    <rPh sb="7" eb="9">
      <t>セイド</t>
    </rPh>
    <rPh sb="13" eb="15">
      <t>デンキ</t>
    </rPh>
    <rPh sb="15" eb="18">
      <t>レイトウコ</t>
    </rPh>
    <phoneticPr fontId="8"/>
  </si>
  <si>
    <t>原油換算量</t>
    <rPh sb="2" eb="4">
      <t>カンサン</t>
    </rPh>
    <phoneticPr fontId="8"/>
  </si>
  <si>
    <t>型番又は名称・灯式</t>
    <rPh sb="0" eb="2">
      <t>カタバン</t>
    </rPh>
    <rPh sb="2" eb="3">
      <t>マタ</t>
    </rPh>
    <rPh sb="4" eb="6">
      <t>メイショウ</t>
    </rPh>
    <rPh sb="7" eb="8">
      <t>アカリ</t>
    </rPh>
    <rPh sb="8" eb="9">
      <t>シキ</t>
    </rPh>
    <phoneticPr fontId="8"/>
  </si>
  <si>
    <t>水銀灯300W、1灯式</t>
    <phoneticPr fontId="8"/>
  </si>
  <si>
    <t>燃料種類</t>
  </si>
  <si>
    <t>排出係数</t>
  </si>
  <si>
    <t>単位発熱量</t>
    <rPh sb="0" eb="2">
      <t>タンイ</t>
    </rPh>
    <phoneticPr fontId="7"/>
  </si>
  <si>
    <t>kV→V</t>
  </si>
  <si>
    <t>相</t>
    <rPh sb="0" eb="1">
      <t>アイ</t>
    </rPh>
    <phoneticPr fontId="7"/>
  </si>
  <si>
    <t>原油換算量</t>
    <rPh sb="2" eb="4">
      <t>カンサン</t>
    </rPh>
    <rPh sb="4" eb="5">
      <t>リョウ</t>
    </rPh>
    <phoneticPr fontId="8"/>
  </si>
  <si>
    <t>事業所のエネルギー使用量</t>
    <rPh sb="0" eb="3">
      <t>ジギョウショ</t>
    </rPh>
    <rPh sb="9" eb="12">
      <t>シヨウリョウ</t>
    </rPh>
    <phoneticPr fontId="8"/>
  </si>
  <si>
    <t>補助事業実施事業所のエネルギー使用量の把握</t>
    <rPh sb="0" eb="4">
      <t>ホジョジギョウ</t>
    </rPh>
    <rPh sb="4" eb="6">
      <t>ジッシ</t>
    </rPh>
    <rPh sb="6" eb="9">
      <t>ジギョウショ</t>
    </rPh>
    <rPh sb="15" eb="18">
      <t>シヨウリョウ</t>
    </rPh>
    <rPh sb="19" eb="21">
      <t>ハアク</t>
    </rPh>
    <phoneticPr fontId="8"/>
  </si>
  <si>
    <t>使用量判定</t>
    <rPh sb="0" eb="2">
      <t>シヨウ</t>
    </rPh>
    <rPh sb="2" eb="3">
      <t>リョウ</t>
    </rPh>
    <rPh sb="3" eb="5">
      <t>ハンテイ</t>
    </rPh>
    <phoneticPr fontId="8"/>
  </si>
  <si>
    <t>エネルギー（燃料）種類</t>
    <rPh sb="6" eb="8">
      <t>ネンリョウ</t>
    </rPh>
    <rPh sb="9" eb="11">
      <t>シュルイ</t>
    </rPh>
    <phoneticPr fontId="8"/>
  </si>
  <si>
    <t>液化天然ガス（LNG）</t>
    <rPh sb="0" eb="2">
      <t>エキカ</t>
    </rPh>
    <rPh sb="2" eb="4">
      <t>テンネン</t>
    </rPh>
    <phoneticPr fontId="10"/>
  </si>
  <si>
    <r>
      <t>主要エネルギー種類別の</t>
    </r>
    <r>
      <rPr>
        <b/>
        <sz val="11"/>
        <color theme="1"/>
        <rFont val="游ゴシック"/>
        <family val="3"/>
        <charset val="128"/>
        <scheme val="minor"/>
      </rPr>
      <t>年間使用量</t>
    </r>
    <rPh sb="0" eb="2">
      <t>シュヨウ</t>
    </rPh>
    <rPh sb="7" eb="10">
      <t>シュルイベツ</t>
    </rPh>
    <rPh sb="11" eb="13">
      <t>ネンカン</t>
    </rPh>
    <rPh sb="13" eb="16">
      <t>シヨウリョウ</t>
    </rPh>
    <phoneticPr fontId="8"/>
  </si>
  <si>
    <t>定格燃料消費量</t>
  </si>
  <si>
    <t>定格燃料消費量(b1)</t>
  </si>
  <si>
    <t>年間定格燃料消費量（F）</t>
    <rPh sb="0" eb="2">
      <t>ネンカン</t>
    </rPh>
    <phoneticPr fontId="8"/>
  </si>
  <si>
    <t>年間燃料消費量</t>
    <phoneticPr fontId="8"/>
  </si>
  <si>
    <t>冷凍室容積(L)</t>
    <phoneticPr fontId="8"/>
  </si>
  <si>
    <t>冷蔵室容積(L)</t>
    <phoneticPr fontId="8"/>
  </si>
  <si>
    <t>　　　　　　　</t>
    <phoneticPr fontId="8"/>
  </si>
  <si>
    <t>電力削減量</t>
    <phoneticPr fontId="8"/>
  </si>
  <si>
    <t>AA120BC</t>
    <phoneticPr fontId="8"/>
  </si>
  <si>
    <t>GG120HJ</t>
    <phoneticPr fontId="8"/>
  </si>
  <si>
    <t>DD180EF</t>
    <phoneticPr fontId="8"/>
  </si>
  <si>
    <t>GG120YZ</t>
    <phoneticPr fontId="8"/>
  </si>
  <si>
    <t>DD180WX</t>
    <phoneticPr fontId="8"/>
  </si>
  <si>
    <t>AA120UV</t>
    <phoneticPr fontId="8"/>
  </si>
  <si>
    <t>劣化加味</t>
    <rPh sb="0" eb="4">
      <t>レッカカミ</t>
    </rPh>
    <phoneticPr fontId="8"/>
  </si>
  <si>
    <t>更新後ガス</t>
    <rPh sb="0" eb="2">
      <t>コウシン</t>
    </rPh>
    <rPh sb="2" eb="3">
      <t>アト</t>
    </rPh>
    <phoneticPr fontId="8"/>
  </si>
  <si>
    <t>発熱量</t>
    <rPh sb="0" eb="3">
      <t>ハツネツリョウ</t>
    </rPh>
    <phoneticPr fontId="8"/>
  </si>
  <si>
    <t>ガス体積</t>
    <rPh sb="2" eb="4">
      <t>タイセキ</t>
    </rPh>
    <phoneticPr fontId="8"/>
  </si>
  <si>
    <t>更新前ガス</t>
    <rPh sb="0" eb="3">
      <t>コウシンマエ</t>
    </rPh>
    <phoneticPr fontId="8"/>
  </si>
  <si>
    <t>年間使用
時間</t>
  </si>
  <si>
    <t>時間/年</t>
    <rPh sb="0" eb="2">
      <t>ジカン</t>
    </rPh>
    <phoneticPr fontId="7"/>
  </si>
  <si>
    <t xml:space="preserve"> (2%/年）</t>
    <phoneticPr fontId="8"/>
  </si>
  <si>
    <t>AAA140WW</t>
    <phoneticPr fontId="8"/>
  </si>
  <si>
    <t>CCC450XX</t>
    <phoneticPr fontId="8"/>
  </si>
  <si>
    <t>EEE125YY</t>
    <phoneticPr fontId="8"/>
  </si>
  <si>
    <t>GGG450ZZ</t>
    <phoneticPr fontId="8"/>
  </si>
  <si>
    <t>台数</t>
  </si>
  <si>
    <t>台数</t>
    <rPh sb="0" eb="2">
      <t>ダイスウ</t>
    </rPh>
    <phoneticPr fontId="8"/>
  </si>
  <si>
    <t>台数</t>
    <phoneticPr fontId="8"/>
  </si>
  <si>
    <t>定格消費電力</t>
    <rPh sb="0" eb="2">
      <t>テイカク</t>
    </rPh>
    <rPh sb="2" eb="4">
      <t>ショウヒ</t>
    </rPh>
    <rPh sb="4" eb="6">
      <t>デンリョク</t>
    </rPh>
    <phoneticPr fontId="8"/>
  </si>
  <si>
    <t>日使用時間</t>
    <rPh sb="0" eb="1">
      <t>ニチ</t>
    </rPh>
    <rPh sb="1" eb="3">
      <t>シヨウ</t>
    </rPh>
    <rPh sb="3" eb="5">
      <t>ジカン</t>
    </rPh>
    <phoneticPr fontId="8"/>
  </si>
  <si>
    <t>年間使用
日数</t>
    <rPh sb="0" eb="2">
      <t>ネンカン</t>
    </rPh>
    <rPh sb="2" eb="4">
      <t>シヨウ</t>
    </rPh>
    <rPh sb="5" eb="7">
      <t>ニッスウ</t>
    </rPh>
    <phoneticPr fontId="8"/>
  </si>
  <si>
    <t>人感センサ点灯率</t>
    <rPh sb="5" eb="7">
      <t>テントウ</t>
    </rPh>
    <rPh sb="7" eb="8">
      <t>リツ</t>
    </rPh>
    <phoneticPr fontId="8"/>
  </si>
  <si>
    <t>年間使用
時間</t>
    <rPh sb="0" eb="2">
      <t>ネンカン</t>
    </rPh>
    <rPh sb="5" eb="7">
      <t>ジカン</t>
    </rPh>
    <phoneticPr fontId="8"/>
  </si>
  <si>
    <t>年間消費
電力量</t>
    <rPh sb="0" eb="2">
      <t>ネンカン</t>
    </rPh>
    <rPh sb="2" eb="4">
      <t>ショウヒ</t>
    </rPh>
    <rPh sb="5" eb="7">
      <t>デンリョク</t>
    </rPh>
    <rPh sb="7" eb="8">
      <t>リョウ</t>
    </rPh>
    <phoneticPr fontId="8"/>
  </si>
  <si>
    <t>CO2排出量</t>
  </si>
  <si>
    <t>定格消費電力</t>
    <rPh sb="2" eb="4">
      <t>ショウヒ</t>
    </rPh>
    <rPh sb="4" eb="6">
      <t>デンリョク</t>
    </rPh>
    <phoneticPr fontId="8"/>
  </si>
  <si>
    <t>人感センサ点灯率</t>
    <rPh sb="0" eb="2">
      <t>ジンカン</t>
    </rPh>
    <rPh sb="5" eb="7">
      <t>テントウ</t>
    </rPh>
    <rPh sb="7" eb="8">
      <t>リツ</t>
    </rPh>
    <phoneticPr fontId="8"/>
  </si>
  <si>
    <t>電力削減量</t>
    <rPh sb="0" eb="2">
      <t>デンリョク</t>
    </rPh>
    <rPh sb="2" eb="5">
      <t>サクゲンリョウ</t>
    </rPh>
    <phoneticPr fontId="8"/>
  </si>
  <si>
    <t>消費電力</t>
    <rPh sb="0" eb="2">
      <t>ショウヒ</t>
    </rPh>
    <rPh sb="2" eb="4">
      <t>デンリョク</t>
    </rPh>
    <phoneticPr fontId="8"/>
  </si>
  <si>
    <t>CO2換算削減量</t>
  </si>
  <si>
    <t>CO2換算削減量</t>
    <phoneticPr fontId="8"/>
  </si>
  <si>
    <t>日使用時間</t>
    <rPh sb="0" eb="1">
      <t>ニチ</t>
    </rPh>
    <phoneticPr fontId="8"/>
  </si>
  <si>
    <t>日稼働時間</t>
    <rPh sb="0" eb="1">
      <t>ニチ</t>
    </rPh>
    <rPh sb="1" eb="3">
      <t>カドウ</t>
    </rPh>
    <rPh sb="3" eb="5">
      <t>ジカン</t>
    </rPh>
    <phoneticPr fontId="8"/>
  </si>
  <si>
    <t>年間稼働時間</t>
    <rPh sb="0" eb="2">
      <t>ネンカン</t>
    </rPh>
    <rPh sb="2" eb="4">
      <t>カドウ</t>
    </rPh>
    <phoneticPr fontId="8"/>
  </si>
  <si>
    <t>年間使用時間</t>
    <rPh sb="0" eb="2">
      <t>ネンカン</t>
    </rPh>
    <phoneticPr fontId="8"/>
  </si>
  <si>
    <t>年間使用時間</t>
    <rPh sb="0" eb="2">
      <t>ネンカン</t>
    </rPh>
    <rPh sb="4" eb="6">
      <t>ジカン</t>
    </rPh>
    <phoneticPr fontId="8"/>
  </si>
  <si>
    <t>年間使用日数</t>
    <rPh sb="0" eb="2">
      <t>ネンカン</t>
    </rPh>
    <rPh sb="4" eb="6">
      <t>ニッスウ</t>
    </rPh>
    <phoneticPr fontId="8"/>
  </si>
  <si>
    <t>年間電力消費量</t>
  </si>
  <si>
    <t xml:space="preserve">CO2排出量
</t>
    <rPh sb="3" eb="6">
      <t>ハイシュツリョウ</t>
    </rPh>
    <phoneticPr fontId="8"/>
  </si>
  <si>
    <t>モーター数</t>
    <rPh sb="4" eb="5">
      <t>スウ</t>
    </rPh>
    <phoneticPr fontId="8"/>
  </si>
  <si>
    <t>年間燃料消費量</t>
  </si>
  <si>
    <t>年間定格燃料消費量</t>
    <rPh sb="0" eb="2">
      <t>ネンカン</t>
    </rPh>
    <phoneticPr fontId="8"/>
  </si>
  <si>
    <t>燃料削減量</t>
    <rPh sb="0" eb="2">
      <t>ネンリョウ</t>
    </rPh>
    <rPh sb="2" eb="4">
      <t>サクゲン</t>
    </rPh>
    <phoneticPr fontId="8"/>
  </si>
  <si>
    <t>燃料削減量</t>
    <rPh sb="0" eb="2">
      <t>ネンリョウ</t>
    </rPh>
    <rPh sb="2" eb="5">
      <t>サクゲンリョウ</t>
    </rPh>
    <phoneticPr fontId="8"/>
  </si>
  <si>
    <t>老朽化消費電力倍率</t>
    <rPh sb="0" eb="3">
      <t>ロウキュウカ</t>
    </rPh>
    <rPh sb="3" eb="5">
      <t>ショウヒ</t>
    </rPh>
    <rPh sb="5" eb="7">
      <t>デンリョク</t>
    </rPh>
    <rPh sb="7" eb="8">
      <t>バイ</t>
    </rPh>
    <rPh sb="8" eb="9">
      <t>リツ</t>
    </rPh>
    <phoneticPr fontId="8"/>
  </si>
  <si>
    <t>HP老朽化消費倍率 (2%/年）</t>
    <rPh sb="2" eb="4">
      <t>ロウキュウ</t>
    </rPh>
    <rPh sb="7" eb="9">
      <t>バイリツ</t>
    </rPh>
    <phoneticPr fontId="8"/>
  </si>
  <si>
    <t>定格燃料消費量</t>
    <rPh sb="0" eb="2">
      <t>テイカク</t>
    </rPh>
    <phoneticPr fontId="8"/>
  </si>
  <si>
    <t>定格出力</t>
    <rPh sb="0" eb="2">
      <t>テイカク</t>
    </rPh>
    <rPh sb="2" eb="4">
      <t>シュツリョク</t>
    </rPh>
    <phoneticPr fontId="8"/>
  </si>
  <si>
    <t>無負荷損</t>
    <rPh sb="0" eb="4">
      <t>ムフカゾン</t>
    </rPh>
    <phoneticPr fontId="8"/>
  </si>
  <si>
    <t>定格消費
電力</t>
    <rPh sb="0" eb="2">
      <t>テイカク</t>
    </rPh>
    <rPh sb="2" eb="4">
      <t>ショウヒ</t>
    </rPh>
    <rPh sb="5" eb="7">
      <t>デンリョク</t>
    </rPh>
    <phoneticPr fontId="8"/>
  </si>
  <si>
    <t>負荷損</t>
    <rPh sb="0" eb="3">
      <t>フカゾン</t>
    </rPh>
    <phoneticPr fontId="8"/>
  </si>
  <si>
    <t>加熱式設備経年劣化率</t>
    <rPh sb="0" eb="2">
      <t>カネツ</t>
    </rPh>
    <rPh sb="2" eb="3">
      <t>シキ</t>
    </rPh>
    <rPh sb="3" eb="5">
      <t>セツビ</t>
    </rPh>
    <rPh sb="5" eb="7">
      <t>ケイネン</t>
    </rPh>
    <rPh sb="7" eb="9">
      <t>レッカ</t>
    </rPh>
    <rPh sb="9" eb="10">
      <t>リツ</t>
    </rPh>
    <phoneticPr fontId="8"/>
  </si>
  <si>
    <t>年間燃料消費量</t>
    <rPh sb="0" eb="2">
      <t>ネンカン</t>
    </rPh>
    <rPh sb="6" eb="7">
      <t>リョウ</t>
    </rPh>
    <phoneticPr fontId="8"/>
  </si>
  <si>
    <t>消費電力</t>
    <rPh sb="0" eb="4">
      <t>ショウヒデンリョク</t>
    </rPh>
    <phoneticPr fontId="8"/>
  </si>
  <si>
    <t>令和8年度：排出量削減効果算定シート</t>
    <phoneticPr fontId="8"/>
  </si>
  <si>
    <t>tCO2/○</t>
  </si>
  <si>
    <t>tCO2/○</t>
    <phoneticPr fontId="8"/>
  </si>
  <si>
    <t>MJ/○</t>
  </si>
  <si>
    <t>MJ/○</t>
    <phoneticPr fontId="8"/>
  </si>
  <si>
    <t>https://sii.or.jp/setsubi07r/search/maker?tab=maker&amp;category=refrigeration#search</t>
    <phoneticPr fontId="8"/>
  </si>
  <si>
    <t>冷凍/
冷蔵</t>
    <rPh sb="0" eb="2">
      <t>レイトウ</t>
    </rPh>
    <rPh sb="4" eb="6">
      <t>レイゾウ</t>
    </rPh>
    <phoneticPr fontId="8"/>
  </si>
  <si>
    <t>年間運転時間</t>
    <rPh sb="0" eb="2">
      <t>ネンカン</t>
    </rPh>
    <rPh sb="2" eb="4">
      <t>ウンテン</t>
    </rPh>
    <rPh sb="4" eb="6">
      <t>ジカン</t>
    </rPh>
    <phoneticPr fontId="8"/>
  </si>
  <si>
    <t>-</t>
    <phoneticPr fontId="8"/>
  </si>
  <si>
    <t>種別</t>
    <rPh sb="0" eb="2">
      <t>シュベツ</t>
    </rPh>
    <phoneticPr fontId="8"/>
  </si>
  <si>
    <t>冷凍機内蔵型ショーケース</t>
  </si>
  <si>
    <r>
      <rPr>
        <sz val="10"/>
        <color theme="1"/>
        <rFont val="游ゴシック"/>
        <family val="3"/>
        <charset val="128"/>
        <scheme val="minor"/>
      </rPr>
      <t>ショーケース形式</t>
    </r>
    <r>
      <rPr>
        <sz val="11"/>
        <color theme="1"/>
        <rFont val="游ゴシック"/>
        <family val="2"/>
        <scheme val="minor"/>
      </rPr>
      <t xml:space="preserve">
</t>
    </r>
    <r>
      <rPr>
        <sz val="9"/>
        <color theme="1"/>
        <rFont val="游ゴシック"/>
        <family val="3"/>
        <charset val="128"/>
        <scheme val="minor"/>
      </rPr>
      <t>(ショーケースのみ)</t>
    </r>
    <rPh sb="6" eb="8">
      <t>ケイシキ</t>
    </rPh>
    <phoneticPr fontId="8"/>
  </si>
  <si>
    <t>インバータ有無</t>
    <rPh sb="5" eb="7">
      <t>ウム</t>
    </rPh>
    <phoneticPr fontId="8"/>
  </si>
  <si>
    <t>負荷率
(計算値)</t>
    <rPh sb="0" eb="3">
      <t>フカリツ</t>
    </rPh>
    <rPh sb="5" eb="7">
      <t>ケイサン</t>
    </rPh>
    <rPh sb="7" eb="8">
      <t>アタイ</t>
    </rPh>
    <phoneticPr fontId="8"/>
  </si>
  <si>
    <t>有</t>
    <phoneticPr fontId="8"/>
  </si>
  <si>
    <t>冷凍機内蔵型ショーケース、ユニットクーラー、冷凍冷蔵ユニット負荷率一覧</t>
    <rPh sb="30" eb="33">
      <t>フカリツ</t>
    </rPh>
    <rPh sb="33" eb="35">
      <t>イチラン</t>
    </rPh>
    <phoneticPr fontId="8"/>
  </si>
  <si>
    <t>冷凍機内蔵型ショーケース</t>
    <phoneticPr fontId="8"/>
  </si>
  <si>
    <t>冷凍/冷蔵</t>
    <rPh sb="0" eb="2">
      <t>レイトウ</t>
    </rPh>
    <rPh sb="3" eb="5">
      <t>レイゾウ</t>
    </rPh>
    <phoneticPr fontId="8"/>
  </si>
  <si>
    <t>ショーケース形式</t>
    <phoneticPr fontId="8"/>
  </si>
  <si>
    <t>インバータ有無</t>
    <phoneticPr fontId="8"/>
  </si>
  <si>
    <t>冷蔵</t>
  </si>
  <si>
    <t>冷蔵</t>
    <rPh sb="0" eb="2">
      <t>レイゾウ</t>
    </rPh>
    <phoneticPr fontId="8"/>
  </si>
  <si>
    <t>オープン</t>
  </si>
  <si>
    <t>オープン</t>
    <phoneticPr fontId="8"/>
  </si>
  <si>
    <t>クローズド</t>
    <phoneticPr fontId="8"/>
  </si>
  <si>
    <t>-20℃以上</t>
    <rPh sb="4" eb="6">
      <t>イジョウ</t>
    </rPh>
    <phoneticPr fontId="8"/>
  </si>
  <si>
    <t>-20℃未満</t>
    <rPh sb="4" eb="6">
      <t>ミマン</t>
    </rPh>
    <phoneticPr fontId="8"/>
  </si>
  <si>
    <t>高温・低温(冷蔵用)</t>
    <phoneticPr fontId="8"/>
  </si>
  <si>
    <t>低温(冷凍用)</t>
    <phoneticPr fontId="8"/>
  </si>
  <si>
    <t>温度条件なし</t>
    <phoneticPr fontId="8"/>
  </si>
  <si>
    <t>ショーケース形式別負荷率</t>
    <rPh sb="6" eb="8">
      <t>ケイシキ</t>
    </rPh>
    <rPh sb="8" eb="9">
      <t>ベツ</t>
    </rPh>
    <rPh sb="9" eb="12">
      <t>フカリツ</t>
    </rPh>
    <phoneticPr fontId="8"/>
  </si>
  <si>
    <t>冷凍</t>
    <rPh sb="0" eb="2">
      <t>レイトウ</t>
    </rPh>
    <phoneticPr fontId="8"/>
  </si>
  <si>
    <t>コンデンシングユニット冷凍冷蔵ユニット形式別負荷率</t>
    <phoneticPr fontId="8"/>
  </si>
  <si>
    <t>一定速機</t>
    <rPh sb="0" eb="2">
      <t>イッテイ</t>
    </rPh>
    <rPh sb="2" eb="3">
      <t>ソク</t>
    </rPh>
    <rPh sb="3" eb="4">
      <t>キ</t>
    </rPh>
    <phoneticPr fontId="8"/>
  </si>
  <si>
    <t>温度帯</t>
    <rPh sb="0" eb="3">
      <t>オンドタイ</t>
    </rPh>
    <phoneticPr fontId="8"/>
  </si>
  <si>
    <t>形式</t>
    <rPh sb="0" eb="2">
      <t>ケイシキ</t>
    </rPh>
    <phoneticPr fontId="8"/>
  </si>
  <si>
    <t>条件結合</t>
    <rPh sb="0" eb="2">
      <t>ジョウケン</t>
    </rPh>
    <rPh sb="2" eb="4">
      <t>ケツゴウ</t>
    </rPh>
    <phoneticPr fontId="8"/>
  </si>
  <si>
    <t>冷凍冷蔵ユニット(高温・低温(冷蔵用))</t>
    <phoneticPr fontId="8"/>
  </si>
  <si>
    <t>冷凍冷蔵ユニット(低温(冷凍用))</t>
    <phoneticPr fontId="8"/>
  </si>
  <si>
    <t>コンデンシングユニット(蒸発温度-20℃以上)</t>
    <phoneticPr fontId="8"/>
  </si>
  <si>
    <t>コンデンシングユニット(蒸発温度-20℃未満)</t>
    <phoneticPr fontId="8"/>
  </si>
  <si>
    <r>
      <rPr>
        <sz val="11"/>
        <color theme="1"/>
        <rFont val="游ゴシック"/>
        <family val="2"/>
        <scheme val="minor"/>
      </rPr>
      <t xml:space="preserve">冷凍/冷蔵
</t>
    </r>
    <r>
      <rPr>
        <sz val="9"/>
        <color theme="1"/>
        <rFont val="游ゴシック"/>
        <family val="3"/>
        <charset val="128"/>
        <scheme val="minor"/>
      </rPr>
      <t>(ショーケースのみ)</t>
    </r>
    <rPh sb="0" eb="2">
      <t>レイトウ</t>
    </rPh>
    <rPh sb="3" eb="5">
      <t>レイゾウ</t>
    </rPh>
    <phoneticPr fontId="8"/>
  </si>
  <si>
    <t>　</t>
    <phoneticPr fontId="8"/>
  </si>
  <si>
    <t>有</t>
  </si>
  <si>
    <t>kWh/年</t>
    <rPh sb="4" eb="5">
      <t>ネン</t>
    </rPh>
    <phoneticPr fontId="8"/>
  </si>
  <si>
    <t>定格能力(kW)</t>
    <rPh sb="0" eb="2">
      <t>テイカク</t>
    </rPh>
    <rPh sb="2" eb="4">
      <t>ノウリョク</t>
    </rPh>
    <phoneticPr fontId="8"/>
  </si>
  <si>
    <t>給湯器（燃焼式）</t>
  </si>
  <si>
    <t>ドロップダウンリスト</t>
    <phoneticPr fontId="8"/>
  </si>
  <si>
    <t>https://www.enecho.meti.go.jp/statistics/total_energy/carbon_2023.html</t>
    <phoneticPr fontId="8"/>
  </si>
  <si>
    <t>https://policies.env.go.jp/earth/ghg-santeikohyo/calc.html</t>
    <phoneticPr fontId="8"/>
  </si>
  <si>
    <t>標準発熱量
(高位発熱量)</t>
    <rPh sb="0" eb="2">
      <t>ヒョウジュン</t>
    </rPh>
    <rPh sb="7" eb="9">
      <t>コウイ</t>
    </rPh>
    <rPh sb="9" eb="12">
      <t>ハツネツリョウ</t>
    </rPh>
    <phoneticPr fontId="8"/>
  </si>
  <si>
    <t>活動量単位</t>
    <rPh sb="0" eb="3">
      <t>カツドウリョウ</t>
    </rPh>
    <rPh sb="3" eb="5">
      <t>タンイ</t>
    </rPh>
    <phoneticPr fontId="10"/>
  </si>
  <si>
    <t>https://www.enecho.meti.go.jp/statistics/total_energy/pdf/shv2023_cmt.pdf</t>
    <phoneticPr fontId="8"/>
  </si>
  <si>
    <t>真発熱量
(低位発熱量)</t>
    <rPh sb="6" eb="8">
      <t>テイイ</t>
    </rPh>
    <rPh sb="8" eb="11">
      <t>ハツネツリョウ</t>
    </rPh>
    <phoneticPr fontId="8"/>
  </si>
  <si>
    <t>単位発熱量
(高位)</t>
    <rPh sb="0" eb="2">
      <t>タンイ</t>
    </rPh>
    <rPh sb="7" eb="9">
      <t>コウイ</t>
    </rPh>
    <phoneticPr fontId="7"/>
  </si>
  <si>
    <t>単位発熱量
(低位)</t>
    <rPh sb="0" eb="2">
      <t>タンイ</t>
    </rPh>
    <rPh sb="7" eb="9">
      <t>テイイ</t>
    </rPh>
    <phoneticPr fontId="7"/>
  </si>
  <si>
    <t>https://sii.or.jp/setsubi07r/search/maker?tab=maker&amp;category=air_conditioning#search</t>
    <phoneticPr fontId="8"/>
  </si>
  <si>
    <t>https://sii.or.jp/setsubi07r/search/maker?tab=maker&amp;category=industrial_motor#search</t>
    <phoneticPr fontId="8"/>
  </si>
  <si>
    <t>https://sii.or.jp/setsubi07r/search/maker?tab=maker&amp;category=transformer#search</t>
    <phoneticPr fontId="8"/>
  </si>
  <si>
    <t>https://sii.or.jp/setsubi07r/search/maker?tab=maker&amp;category=led_light#search</t>
    <phoneticPr fontId="8"/>
  </si>
  <si>
    <t>冷凍冷蔵設備</t>
    <rPh sb="4" eb="6">
      <t>セツビ</t>
    </rPh>
    <phoneticPr fontId="8"/>
  </si>
  <si>
    <t>冷蔵室容積</t>
    <rPh sb="0" eb="3">
      <t>レイゾウシツ</t>
    </rPh>
    <rPh sb="3" eb="5">
      <t>ヨウセキ</t>
    </rPh>
    <phoneticPr fontId="8"/>
  </si>
  <si>
    <t>冷凍室容量</t>
    <rPh sb="0" eb="3">
      <t>レイトウシツ</t>
    </rPh>
    <rPh sb="3" eb="5">
      <t>ヨウリョウ</t>
    </rPh>
    <phoneticPr fontId="8"/>
  </si>
  <si>
    <t>冷蔵室容量</t>
    <rPh sb="0" eb="3">
      <t>レイゾウシツ</t>
    </rPh>
    <rPh sb="3" eb="5">
      <t>ヨウリョウ</t>
    </rPh>
    <phoneticPr fontId="8"/>
  </si>
  <si>
    <t>冷凍冷蔵室容量</t>
    <rPh sb="0" eb="2">
      <t>レイトウ</t>
    </rPh>
    <rPh sb="2" eb="5">
      <t>レイゾウシツ</t>
    </rPh>
    <rPh sb="5" eb="7">
      <t>ヨウリョウ</t>
    </rPh>
    <phoneticPr fontId="8"/>
  </si>
  <si>
    <t>年間運転時間
(デフォルト値)</t>
    <rPh sb="0" eb="2">
      <t>ネンカン</t>
    </rPh>
    <rPh sb="2" eb="4">
      <t>ウンテン</t>
    </rPh>
    <rPh sb="4" eb="6">
      <t>ジカン</t>
    </rPh>
    <rPh sb="13" eb="14">
      <t>アタイ</t>
    </rPh>
    <phoneticPr fontId="8"/>
  </si>
  <si>
    <t>負荷率
(設定値)</t>
    <rPh sb="0" eb="3">
      <t>フカリツ</t>
    </rPh>
    <rPh sb="5" eb="7">
      <t>セッテイ</t>
    </rPh>
    <rPh sb="7" eb="8">
      <t>アタイ</t>
    </rPh>
    <phoneticPr fontId="8"/>
  </si>
  <si>
    <t>https://www.env.go.jp/policy/hozen/green/g-law/index.html</t>
    <phoneticPr fontId="8"/>
  </si>
  <si>
    <t>環境物品等の調達の推進に関する基本方針：グリーン購入法</t>
    <phoneticPr fontId="8"/>
  </si>
  <si>
    <t>https://sii.or.jp/setsubi07r/search/maker?tab=maker&amp;category=boiler#search</t>
    <phoneticPr fontId="8"/>
  </si>
  <si>
    <t>『(Ⅲ)設備単位型』補助対象（冷凍冷蔵設備）</t>
    <phoneticPr fontId="8"/>
  </si>
  <si>
    <t>インバータ制御</t>
    <rPh sb="5" eb="7">
      <t>セイギョ</t>
    </rPh>
    <phoneticPr fontId="8"/>
  </si>
  <si>
    <t>効率(COP)</t>
    <rPh sb="0" eb="2">
      <t>コウリツ</t>
    </rPh>
    <phoneticPr fontId="8"/>
  </si>
  <si>
    <t>■エネルギー源別標準発熱量・炭素排出係数(2023年度改訂)の解説</t>
    <phoneticPr fontId="8"/>
  </si>
  <si>
    <t>冷凍</t>
  </si>
  <si>
    <t>冷凍冷蔵</t>
  </si>
  <si>
    <t>コンデンシングユニット(蒸発温度-20℃以上)</t>
  </si>
  <si>
    <t>冷凍冷蔵ユニット(低温(冷凍用))</t>
  </si>
  <si>
    <t>MJ/h</t>
    <phoneticPr fontId="8"/>
  </si>
  <si>
    <t>kWh/年・台</t>
    <rPh sb="4" eb="5">
      <t>ネン</t>
    </rPh>
    <rPh sb="6" eb="7">
      <t>ダイ</t>
    </rPh>
    <phoneticPr fontId="8"/>
  </si>
  <si>
    <t>原油換算量</t>
    <rPh sb="0" eb="2">
      <t>ゲンユ</t>
    </rPh>
    <rPh sb="2" eb="4">
      <t>カンザン</t>
    </rPh>
    <rPh sb="4" eb="5">
      <t>リョウ</t>
    </rPh>
    <phoneticPr fontId="8"/>
  </si>
  <si>
    <t>冷凍冷蔵設備の更新(冷凍冷蔵庫)</t>
    <phoneticPr fontId="8"/>
  </si>
  <si>
    <t>【記入例】冷凍冷蔵設備の更新(冷凍冷蔵庫)</t>
    <rPh sb="1" eb="4">
      <t>キニュウレイ</t>
    </rPh>
    <phoneticPr fontId="8"/>
  </si>
  <si>
    <t>時間/年</t>
    <rPh sb="0" eb="2">
      <t>ジカン</t>
    </rPh>
    <rPh sb="3" eb="4">
      <t>ネン</t>
    </rPh>
    <phoneticPr fontId="8"/>
  </si>
  <si>
    <t>冷凍冷蔵設備の更新(冷凍機内蔵型ショーケース、コンデンシングユニット、冷凍冷蔵ユニット)</t>
    <rPh sb="0" eb="2">
      <t>レイトウ</t>
    </rPh>
    <rPh sb="2" eb="4">
      <t>レイゾウ</t>
    </rPh>
    <rPh sb="4" eb="6">
      <t>セツビ</t>
    </rPh>
    <rPh sb="7" eb="9">
      <t>コウシン</t>
    </rPh>
    <rPh sb="10" eb="13">
      <t>レイトウキ</t>
    </rPh>
    <rPh sb="13" eb="16">
      <t>ナイゾウガタ</t>
    </rPh>
    <rPh sb="35" eb="37">
      <t>レイトウ</t>
    </rPh>
    <rPh sb="37" eb="39">
      <t>レイゾウ</t>
    </rPh>
    <phoneticPr fontId="8"/>
  </si>
  <si>
    <t>令和8年度：排出量削減効果算定シート</t>
  </si>
  <si>
    <t>更新前後の定格出力（合計値）</t>
    <rPh sb="0" eb="4">
      <t>コウシンゼンゴ</t>
    </rPh>
    <rPh sb="5" eb="9">
      <t>テイカクシュツリョク</t>
    </rPh>
    <rPh sb="10" eb="13">
      <t>ゴウケイチ</t>
    </rPh>
    <phoneticPr fontId="8"/>
  </si>
  <si>
    <t>年間消費
電力量(算定の場合)</t>
    <rPh sb="0" eb="2">
      <t>ネンカン</t>
    </rPh>
    <rPh sb="2" eb="4">
      <t>ショウヒ</t>
    </rPh>
    <rPh sb="5" eb="7">
      <t>デンリョク</t>
    </rPh>
    <rPh sb="7" eb="8">
      <t>リョウ</t>
    </rPh>
    <rPh sb="9" eb="11">
      <t>サンテイ</t>
    </rPh>
    <rPh sb="12" eb="14">
      <t>バアイ</t>
    </rPh>
    <phoneticPr fontId="8"/>
  </si>
  <si>
    <t>　　</t>
  </si>
  <si>
    <t>三相</t>
    <phoneticPr fontId="8"/>
  </si>
  <si>
    <t>【記入例】冷凍冷蔵設備の更新(冷凍機内蔵型ショーケース、コンデンシングユニット、冷凍冷蔵ユニット)</t>
    <rPh sb="1" eb="4">
      <t>キニュウレイ</t>
    </rPh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</si>
</sst>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76" formatCode="0_);[Red]\(0\)"/>
    <numFmt numFmtId="177" formatCode="0.0%"/>
    <numFmt numFmtId="178" formatCode="0.0_);[Red]\(0.0\)"/>
    <numFmt numFmtId="179" formatCode="0.000000"/>
    <numFmt numFmtId="180" formatCode="#,##0.0_ "/>
    <numFmt numFmtId="181" formatCode="#,##0.0000_ "/>
    <numFmt numFmtId="182" formatCode="#,##0.00_ "/>
    <numFmt numFmtId="183" formatCode="#,##0.000000_ "/>
    <numFmt numFmtId="184" formatCode="0.0"/>
    <numFmt numFmtId="185" formatCode="0_ "/>
    <numFmt numFmtId="186" formatCode="0.0_ "/>
    <numFmt numFmtId="187" formatCode="#,##0_);[Red]\(#,##0\)"/>
    <numFmt numFmtId="188" formatCode="#,##0.0_ ;[Red]\-#,##0.0\ "/>
    <numFmt numFmtId="189" formatCode="#,##0_ ;[Red]\-#,##0\ "/>
    <numFmt numFmtId="190" formatCode="0.00_ ;[Red]\-0.00\ "/>
    <numFmt numFmtId="191" formatCode="0.00_ "/>
    <numFmt numFmtId="192" formatCode="#,##0.00_);[Red]\(#,##0.00\)"/>
    <numFmt numFmtId="193" formatCode="0.0_ ;[Red]\-0.0\ "/>
    <numFmt numFmtId="194" formatCode="0_ ;[Red]\-0\ "/>
    <numFmt numFmtId="195" formatCode="#,##0.0;[Red]\-#,##0.0"/>
    <numFmt numFmtId="196" formatCode="0.00_);[Red]\(0.00\)"/>
    <numFmt numFmtId="197" formatCode="0.000000_ "/>
    <numFmt numFmtId="198" formatCode="#,##0_ "/>
    <numFmt numFmtId="199" formatCode="#,##0.0_);[Red]\(#,##0.0\)"/>
  </numFmts>
  <fonts count="38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b/>
      <sz val="18"/>
      <color theme="1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7"/>
      <name val="游ゴシック"/>
      <family val="2"/>
      <scheme val="minor"/>
    </font>
    <font>
      <sz val="6"/>
      <name val="ＭＳ Ｐゴシック"/>
      <family val="3"/>
      <charset val="128"/>
    </font>
    <font>
      <sz val="10"/>
      <color theme="1"/>
      <name val="游ゴシック"/>
      <family val="2"/>
      <scheme val="minor"/>
    </font>
    <font>
      <sz val="10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9"/>
      <name val="ＭＳ Ｐゴシック"/>
      <family val="3"/>
      <charset val="128"/>
    </font>
    <font>
      <sz val="16"/>
      <color theme="1"/>
      <name val="游ゴシック"/>
      <family val="2"/>
      <scheme val="minor"/>
    </font>
    <font>
      <sz val="11"/>
      <color rgb="FFFF0000"/>
      <name val="游ゴシック"/>
      <family val="2"/>
      <scheme val="minor"/>
    </font>
    <font>
      <sz val="11"/>
      <name val="游ゴシック"/>
      <family val="2"/>
      <scheme val="minor"/>
    </font>
    <font>
      <sz val="11"/>
      <color rgb="FFFF0000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6"/>
      <color theme="1"/>
      <name val="游ゴシック"/>
      <family val="3"/>
      <charset val="128"/>
      <scheme val="minor"/>
    </font>
    <font>
      <b/>
      <sz val="14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12"/>
      <color indexed="81"/>
      <name val="MS P 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sz val="9"/>
      <name val="ＭＳ Ｐゴシック"/>
      <family val="3"/>
      <charset val="128"/>
    </font>
    <font>
      <b/>
      <sz val="20"/>
      <color theme="1"/>
      <name val="游ゴシック"/>
      <family val="3"/>
      <charset val="128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6C6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/>
  </cellStyleXfs>
  <cellXfs count="764">
    <xf numFmtId="0" fontId="0" fillId="0" borderId="0" xfId="0"/>
    <xf numFmtId="0" fontId="0" fillId="2" borderId="1" xfId="0" applyFill="1" applyBorder="1" applyAlignment="1" applyProtection="1">
      <alignment shrinkToFit="1"/>
      <protection locked="0"/>
    </xf>
    <xf numFmtId="38" fontId="0" fillId="2" borderId="1" xfId="1" applyFont="1" applyFill="1" applyBorder="1" applyAlignment="1" applyProtection="1">
      <alignment shrinkToFit="1"/>
      <protection locked="0"/>
    </xf>
    <xf numFmtId="0" fontId="0" fillId="2" borderId="1" xfId="0" applyFill="1" applyBorder="1" applyProtection="1">
      <protection locked="0"/>
    </xf>
    <xf numFmtId="0" fontId="0" fillId="3" borderId="1" xfId="0" applyFill="1" applyBorder="1" applyAlignment="1" applyProtection="1">
      <alignment shrinkToFit="1"/>
      <protection locked="0"/>
    </xf>
    <xf numFmtId="0" fontId="0" fillId="0" borderId="1" xfId="0" applyBorder="1" applyAlignment="1">
      <alignment horizontal="center" vertical="center"/>
    </xf>
    <xf numFmtId="38" fontId="0" fillId="0" borderId="1" xfId="1" applyFont="1" applyBorder="1" applyAlignment="1" applyProtection="1">
      <alignment vertical="center"/>
    </xf>
    <xf numFmtId="38" fontId="0" fillId="0" borderId="1" xfId="1" applyFont="1" applyBorder="1" applyAlignment="1" applyProtection="1"/>
    <xf numFmtId="9" fontId="0" fillId="0" borderId="1" xfId="2" applyFont="1" applyBorder="1" applyAlignment="1"/>
    <xf numFmtId="0" fontId="0" fillId="0" borderId="1" xfId="0" applyBorder="1"/>
    <xf numFmtId="0" fontId="0" fillId="2" borderId="1" xfId="0" applyFill="1" applyBorder="1" applyAlignment="1" applyProtection="1">
      <alignment wrapText="1"/>
      <protection locked="0"/>
    </xf>
    <xf numFmtId="0" fontId="7" fillId="0" borderId="0" xfId="0" applyFont="1"/>
    <xf numFmtId="0" fontId="0" fillId="0" borderId="1" xfId="0" applyBorder="1" applyAlignment="1">
      <alignment horizontal="center"/>
    </xf>
    <xf numFmtId="0" fontId="0" fillId="0" borderId="1" xfId="0" applyBorder="1" applyAlignment="1">
      <alignment vertical="center"/>
    </xf>
    <xf numFmtId="38" fontId="0" fillId="0" borderId="1" xfId="1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shrinkToFit="1"/>
    </xf>
    <xf numFmtId="0" fontId="0" fillId="3" borderId="1" xfId="0" applyFill="1" applyBorder="1" applyAlignment="1" applyProtection="1">
      <alignment vertical="center" shrinkToFit="1"/>
      <protection locked="0"/>
    </xf>
    <xf numFmtId="38" fontId="0" fillId="0" borderId="1" xfId="1" applyFont="1" applyBorder="1" applyAlignment="1" applyProtection="1">
      <alignment shrinkToFit="1"/>
    </xf>
    <xf numFmtId="177" fontId="0" fillId="0" borderId="1" xfId="0" applyNumberFormat="1" applyBorder="1"/>
    <xf numFmtId="0" fontId="16" fillId="0" borderId="0" xfId="3" applyFont="1" applyAlignment="1">
      <alignment vertical="top"/>
    </xf>
    <xf numFmtId="0" fontId="15" fillId="0" borderId="0" xfId="3">
      <alignment vertical="center"/>
    </xf>
    <xf numFmtId="0" fontId="17" fillId="4" borderId="1" xfId="3" applyFont="1" applyFill="1" applyBorder="1">
      <alignment vertical="center"/>
    </xf>
    <xf numFmtId="0" fontId="17" fillId="4" borderId="1" xfId="3" applyFont="1" applyFill="1" applyBorder="1" applyAlignment="1">
      <alignment horizontal="center" vertical="center" wrapText="1"/>
    </xf>
    <xf numFmtId="179" fontId="17" fillId="4" borderId="1" xfId="3" applyNumberFormat="1" applyFont="1" applyFill="1" applyBorder="1" applyAlignment="1">
      <alignment horizontal="center" vertical="center" wrapText="1"/>
    </xf>
    <xf numFmtId="0" fontId="15" fillId="0" borderId="1" xfId="3" applyBorder="1" applyAlignment="1">
      <alignment vertical="center" shrinkToFit="1"/>
    </xf>
    <xf numFmtId="0" fontId="0" fillId="0" borderId="1" xfId="5" applyNumberFormat="1" applyFont="1" applyFill="1" applyBorder="1" applyAlignment="1" applyProtection="1">
      <alignment horizontal="center" vertical="center" shrinkToFit="1"/>
    </xf>
    <xf numFmtId="179" fontId="15" fillId="0" borderId="1" xfId="5" applyNumberFormat="1" applyFont="1" applyBorder="1" applyAlignment="1" applyProtection="1">
      <alignment horizontal="center" vertical="center" wrapText="1" shrinkToFit="1"/>
    </xf>
    <xf numFmtId="0" fontId="15" fillId="0" borderId="1" xfId="3" applyBorder="1">
      <alignment vertical="center"/>
    </xf>
    <xf numFmtId="183" fontId="0" fillId="0" borderId="1" xfId="5" applyNumberFormat="1" applyFont="1" applyFill="1" applyBorder="1" applyAlignment="1" applyProtection="1">
      <alignment vertical="center" shrinkToFit="1"/>
    </xf>
    <xf numFmtId="177" fontId="0" fillId="0" borderId="0" xfId="2" applyNumberFormat="1" applyFont="1" applyAlignment="1"/>
    <xf numFmtId="0" fontId="20" fillId="0" borderId="0" xfId="0" applyFont="1"/>
    <xf numFmtId="0" fontId="22" fillId="0" borderId="0" xfId="0" applyFont="1"/>
    <xf numFmtId="184" fontId="0" fillId="0" borderId="1" xfId="0" applyNumberFormat="1" applyBorder="1"/>
    <xf numFmtId="184" fontId="0" fillId="0" borderId="1" xfId="0" applyNumberFormat="1" applyBorder="1" applyAlignment="1">
      <alignment shrinkToFit="1"/>
    </xf>
    <xf numFmtId="0" fontId="0" fillId="2" borderId="1" xfId="0" applyFill="1" applyBorder="1" applyAlignment="1" applyProtection="1">
      <alignment horizontal="right"/>
      <protection locked="0"/>
    </xf>
    <xf numFmtId="184" fontId="0" fillId="0" borderId="1" xfId="0" applyNumberForma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86" fontId="0" fillId="0" borderId="0" xfId="0" applyNumberFormat="1"/>
    <xf numFmtId="186" fontId="0" fillId="0" borderId="1" xfId="0" applyNumberFormat="1" applyBorder="1"/>
    <xf numFmtId="187" fontId="0" fillId="6" borderId="1" xfId="0" applyNumberFormat="1" applyFill="1" applyBorder="1" applyAlignment="1">
      <alignment horizontal="center" vertical="center"/>
    </xf>
    <xf numFmtId="187" fontId="0" fillId="0" borderId="0" xfId="0" applyNumberFormat="1" applyAlignment="1">
      <alignment horizontal="center"/>
    </xf>
    <xf numFmtId="187" fontId="0" fillId="0" borderId="1" xfId="0" applyNumberFormat="1" applyBorder="1"/>
    <xf numFmtId="187" fontId="0" fillId="0" borderId="0" xfId="0" applyNumberFormat="1"/>
    <xf numFmtId="187" fontId="0" fillId="0" borderId="8" xfId="0" applyNumberFormat="1" applyBorder="1"/>
    <xf numFmtId="188" fontId="0" fillId="0" borderId="1" xfId="1" applyNumberFormat="1" applyFont="1" applyBorder="1" applyAlignment="1" applyProtection="1">
      <alignment horizontal="right" vertical="center"/>
    </xf>
    <xf numFmtId="189" fontId="0" fillId="0" borderId="1" xfId="1" applyNumberFormat="1" applyFont="1" applyBorder="1" applyAlignment="1" applyProtection="1">
      <alignment horizontal="right" vertical="center"/>
    </xf>
    <xf numFmtId="188" fontId="0" fillId="0" borderId="1" xfId="0" applyNumberFormat="1" applyBorder="1" applyAlignment="1">
      <alignment horizontal="right" vertical="center"/>
    </xf>
    <xf numFmtId="188" fontId="0" fillId="0" borderId="1" xfId="1" applyNumberFormat="1" applyFont="1" applyBorder="1" applyAlignment="1" applyProtection="1">
      <alignment vertical="center"/>
    </xf>
    <xf numFmtId="0" fontId="0" fillId="0" borderId="11" xfId="0" applyBorder="1" applyAlignment="1">
      <alignment horizontal="center" shrinkToFit="1"/>
    </xf>
    <xf numFmtId="0" fontId="0" fillId="3" borderId="1" xfId="0" applyFill="1" applyBorder="1" applyAlignment="1" applyProtection="1">
      <alignment horizontal="center"/>
      <protection locked="0"/>
    </xf>
    <xf numFmtId="0" fontId="23" fillId="0" borderId="0" xfId="0" applyFont="1"/>
    <xf numFmtId="191" fontId="0" fillId="0" borderId="0" xfId="0" applyNumberFormat="1"/>
    <xf numFmtId="185" fontId="0" fillId="0" borderId="0" xfId="0" applyNumberFormat="1"/>
    <xf numFmtId="176" fontId="0" fillId="0" borderId="0" xfId="0" applyNumberFormat="1"/>
    <xf numFmtId="0" fontId="0" fillId="0" borderId="0" xfId="0" applyAlignment="1">
      <alignment horizontal="center"/>
    </xf>
    <xf numFmtId="177" fontId="0" fillId="0" borderId="0" xfId="0" applyNumberFormat="1"/>
    <xf numFmtId="192" fontId="0" fillId="0" borderId="0" xfId="0" applyNumberFormat="1"/>
    <xf numFmtId="0" fontId="0" fillId="6" borderId="1" xfId="0" applyFill="1" applyBorder="1"/>
    <xf numFmtId="9" fontId="0" fillId="6" borderId="1" xfId="2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 applyAlignment="1">
      <alignment vertical="center"/>
    </xf>
    <xf numFmtId="0" fontId="0" fillId="6" borderId="2" xfId="0" applyFill="1" applyBorder="1"/>
    <xf numFmtId="0" fontId="0" fillId="6" borderId="5" xfId="0" applyFill="1" applyBorder="1"/>
    <xf numFmtId="0" fontId="0" fillId="6" borderId="3" xfId="0" applyFill="1" applyBorder="1"/>
    <xf numFmtId="0" fontId="0" fillId="6" borderId="1" xfId="0" applyFill="1" applyBorder="1" applyAlignment="1">
      <alignment horizontal="right"/>
    </xf>
    <xf numFmtId="0" fontId="0" fillId="6" borderId="1" xfId="0" applyFill="1" applyBorder="1" applyAlignment="1">
      <alignment horizontal="left"/>
    </xf>
    <xf numFmtId="188" fontId="0" fillId="0" borderId="1" xfId="1" applyNumberFormat="1" applyFont="1" applyBorder="1" applyAlignment="1" applyProtection="1">
      <alignment horizontal="right"/>
    </xf>
    <xf numFmtId="0" fontId="0" fillId="0" borderId="0" xfId="0" applyProtection="1">
      <protection locked="0"/>
    </xf>
    <xf numFmtId="0" fontId="0" fillId="6" borderId="1" xfId="0" applyFill="1" applyBorder="1" applyAlignment="1">
      <alignment shrinkToFit="1"/>
    </xf>
    <xf numFmtId="0" fontId="0" fillId="6" borderId="1" xfId="0" applyFill="1" applyBorder="1" applyAlignment="1">
      <alignment vertical="center" wrapText="1"/>
    </xf>
    <xf numFmtId="0" fontId="0" fillId="0" borderId="0" xfId="0" applyAlignment="1" applyProtection="1">
      <alignment shrinkToFit="1"/>
      <protection locked="0"/>
    </xf>
    <xf numFmtId="0" fontId="9" fillId="0" borderId="0" xfId="0" applyFont="1"/>
    <xf numFmtId="0" fontId="11" fillId="6" borderId="1" xfId="0" applyFont="1" applyFill="1" applyBorder="1" applyAlignment="1">
      <alignment vertical="center" wrapText="1"/>
    </xf>
    <xf numFmtId="184" fontId="0" fillId="7" borderId="1" xfId="0" applyNumberFormat="1" applyFill="1" applyBorder="1" applyAlignment="1">
      <alignment horizontal="right" vertical="center" wrapText="1"/>
    </xf>
    <xf numFmtId="179" fontId="15" fillId="0" borderId="1" xfId="5" applyNumberFormat="1" applyFont="1" applyFill="1" applyBorder="1" applyAlignment="1" applyProtection="1">
      <alignment horizontal="center" vertical="center" wrapText="1" shrinkToFit="1"/>
    </xf>
    <xf numFmtId="0" fontId="0" fillId="5" borderId="1" xfId="0" applyFill="1" applyBorder="1"/>
    <xf numFmtId="0" fontId="13" fillId="5" borderId="1" xfId="0" applyFont="1" applyFill="1" applyBorder="1" applyAlignment="1">
      <alignment horizontal="center"/>
    </xf>
    <xf numFmtId="0" fontId="13" fillId="5" borderId="1" xfId="0" applyFont="1" applyFill="1" applyBorder="1" applyAlignment="1">
      <alignment horizontal="right"/>
    </xf>
    <xf numFmtId="38" fontId="13" fillId="5" borderId="1" xfId="1" applyFont="1" applyFill="1" applyBorder="1" applyAlignment="1" applyProtection="1">
      <alignment horizontal="right"/>
    </xf>
    <xf numFmtId="184" fontId="13" fillId="5" borderId="1" xfId="0" applyNumberFormat="1" applyFont="1" applyFill="1" applyBorder="1" applyAlignment="1">
      <alignment horizontal="right" wrapText="1"/>
    </xf>
    <xf numFmtId="0" fontId="13" fillId="5" borderId="1" xfId="0" applyFont="1" applyFill="1" applyBorder="1" applyAlignment="1">
      <alignment horizontal="center" wrapText="1"/>
    </xf>
    <xf numFmtId="0" fontId="13" fillId="5" borderId="1" xfId="0" applyFont="1" applyFill="1" applyBorder="1" applyAlignment="1" applyProtection="1">
      <alignment horizontal="right"/>
      <protection locked="0"/>
    </xf>
    <xf numFmtId="0" fontId="0" fillId="6" borderId="11" xfId="0" applyFill="1" applyBorder="1" applyAlignment="1">
      <alignment horizontal="center"/>
    </xf>
    <xf numFmtId="0" fontId="0" fillId="0" borderId="11" xfId="0" applyBorder="1" applyAlignment="1">
      <alignment horizontal="right"/>
    </xf>
    <xf numFmtId="9" fontId="0" fillId="0" borderId="1" xfId="0" applyNumberFormat="1" applyBorder="1" applyAlignment="1">
      <alignment horizontal="center" vertical="center" shrinkToFit="1"/>
    </xf>
    <xf numFmtId="193" fontId="0" fillId="0" borderId="1" xfId="0" applyNumberFormat="1" applyBorder="1"/>
    <xf numFmtId="0" fontId="0" fillId="6" borderId="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194" fontId="0" fillId="0" borderId="1" xfId="1" applyNumberFormat="1" applyFont="1" applyBorder="1" applyAlignment="1" applyProtection="1"/>
    <xf numFmtId="0" fontId="15" fillId="6" borderId="1" xfId="3" applyFill="1" applyBorder="1">
      <alignment vertical="center"/>
    </xf>
    <xf numFmtId="0" fontId="0" fillId="3" borderId="1" xfId="0" applyFill="1" applyBorder="1" applyAlignment="1" applyProtection="1">
      <alignment horizontal="left"/>
      <protection locked="0"/>
    </xf>
    <xf numFmtId="178" fontId="0" fillId="0" borderId="1" xfId="0" applyNumberFormat="1" applyBorder="1"/>
    <xf numFmtId="0" fontId="0" fillId="6" borderId="1" xfId="0" applyFill="1" applyBorder="1" applyAlignment="1">
      <alignment horizontal="left" vertical="center"/>
    </xf>
    <xf numFmtId="0" fontId="0" fillId="6" borderId="10" xfId="0" applyFill="1" applyBorder="1" applyAlignment="1">
      <alignment horizontal="left" vertical="center"/>
    </xf>
    <xf numFmtId="0" fontId="0" fillId="6" borderId="1" xfId="0" applyFill="1" applyBorder="1" applyAlignment="1">
      <alignment horizontal="left" vertical="top"/>
    </xf>
    <xf numFmtId="0" fontId="21" fillId="0" borderId="0" xfId="0" applyFont="1"/>
    <xf numFmtId="0" fontId="21" fillId="3" borderId="1" xfId="0" applyFont="1" applyFill="1" applyBorder="1" applyAlignment="1" applyProtection="1">
      <alignment horizontal="center"/>
      <protection locked="0"/>
    </xf>
    <xf numFmtId="195" fontId="0" fillId="0" borderId="1" xfId="1" applyNumberFormat="1" applyFont="1" applyBorder="1" applyAlignment="1" applyProtection="1"/>
    <xf numFmtId="0" fontId="0" fillId="6" borderId="1" xfId="0" applyFill="1" applyBorder="1" applyAlignment="1">
      <alignment horizontal="left" vertical="center" wrapText="1"/>
    </xf>
    <xf numFmtId="0" fontId="12" fillId="6" borderId="1" xfId="0" applyFont="1" applyFill="1" applyBorder="1" applyAlignment="1">
      <alignment horizontal="left" vertical="center" wrapText="1"/>
    </xf>
    <xf numFmtId="187" fontId="0" fillId="2" borderId="1" xfId="0" applyNumberFormat="1" applyFill="1" applyBorder="1" applyProtection="1">
      <protection locked="0"/>
    </xf>
    <xf numFmtId="2" fontId="0" fillId="2" borderId="1" xfId="0" applyNumberFormat="1" applyFill="1" applyBorder="1" applyAlignment="1" applyProtection="1">
      <alignment shrinkToFit="1"/>
      <protection locked="0"/>
    </xf>
    <xf numFmtId="193" fontId="0" fillId="0" borderId="1" xfId="1" applyNumberFormat="1" applyFont="1" applyBorder="1" applyAlignment="1" applyProtection="1">
      <alignment shrinkToFit="1"/>
    </xf>
    <xf numFmtId="0" fontId="0" fillId="6" borderId="11" xfId="0" applyFill="1" applyBorder="1"/>
    <xf numFmtId="198" fontId="0" fillId="0" borderId="1" xfId="0" applyNumberFormat="1" applyBorder="1"/>
    <xf numFmtId="0" fontId="0" fillId="0" borderId="11" xfId="0" applyBorder="1"/>
    <xf numFmtId="0" fontId="0" fillId="3" borderId="1" xfId="0" applyFill="1" applyBorder="1" applyAlignment="1" applyProtection="1">
      <alignment wrapText="1"/>
      <protection locked="0"/>
    </xf>
    <xf numFmtId="0" fontId="0" fillId="0" borderId="0" xfId="0" applyAlignment="1">
      <alignment shrinkToFit="1"/>
    </xf>
    <xf numFmtId="0" fontId="0" fillId="6" borderId="2" xfId="0" applyFill="1" applyBorder="1" applyAlignment="1">
      <alignment horizontal="center" vertical="center"/>
    </xf>
    <xf numFmtId="0" fontId="0" fillId="2" borderId="1" xfId="0" applyFill="1" applyBorder="1" applyAlignment="1" applyProtection="1">
      <alignment vertical="center" wrapText="1"/>
      <protection locked="0"/>
    </xf>
    <xf numFmtId="0" fontId="0" fillId="2" borderId="1" xfId="0" applyFill="1" applyBorder="1" applyAlignment="1" applyProtection="1">
      <alignment vertical="center"/>
      <protection locked="0"/>
    </xf>
    <xf numFmtId="9" fontId="0" fillId="0" borderId="1" xfId="2" applyFont="1" applyFill="1" applyBorder="1" applyAlignment="1" applyProtection="1">
      <alignment vertical="center"/>
    </xf>
    <xf numFmtId="0" fontId="0" fillId="6" borderId="1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/>
    </xf>
    <xf numFmtId="0" fontId="0" fillId="10" borderId="1" xfId="0" applyFill="1" applyBorder="1" applyAlignment="1">
      <alignment horizontal="center"/>
    </xf>
    <xf numFmtId="193" fontId="0" fillId="0" borderId="1" xfId="0" applyNumberFormat="1" applyBorder="1" applyAlignment="1">
      <alignment vertical="center"/>
    </xf>
    <xf numFmtId="0" fontId="0" fillId="6" borderId="4" xfId="0" applyFill="1" applyBorder="1" applyAlignment="1">
      <alignment horizontal="left" vertical="top"/>
    </xf>
    <xf numFmtId="0" fontId="0" fillId="6" borderId="6" xfId="0" applyFill="1" applyBorder="1" applyAlignment="1">
      <alignment horizontal="left" vertical="top"/>
    </xf>
    <xf numFmtId="0" fontId="0" fillId="6" borderId="24" xfId="0" applyFill="1" applyBorder="1" applyAlignment="1">
      <alignment horizontal="left" vertical="top"/>
    </xf>
    <xf numFmtId="0" fontId="0" fillId="6" borderId="7" xfId="0" applyFill="1" applyBorder="1" applyAlignment="1">
      <alignment horizontal="left" vertical="top"/>
    </xf>
    <xf numFmtId="0" fontId="0" fillId="6" borderId="8" xfId="0" applyFill="1" applyBorder="1" applyAlignment="1">
      <alignment horizontal="left" vertical="top"/>
    </xf>
    <xf numFmtId="0" fontId="0" fillId="6" borderId="9" xfId="0" applyFill="1" applyBorder="1" applyAlignment="1">
      <alignment horizontal="left" vertical="top"/>
    </xf>
    <xf numFmtId="9" fontId="0" fillId="0" borderId="1" xfId="2" applyFont="1" applyFill="1" applyBorder="1" applyAlignment="1" applyProtection="1"/>
    <xf numFmtId="0" fontId="27" fillId="0" borderId="0" xfId="0" applyFont="1"/>
    <xf numFmtId="38" fontId="0" fillId="0" borderId="0" xfId="1" applyFont="1" applyFill="1" applyBorder="1" applyAlignment="1" applyProtection="1">
      <alignment horizontal="center"/>
    </xf>
    <xf numFmtId="0" fontId="24" fillId="6" borderId="5" xfId="0" applyFont="1" applyFill="1" applyBorder="1"/>
    <xf numFmtId="0" fontId="24" fillId="8" borderId="0" xfId="0" applyFont="1" applyFill="1"/>
    <xf numFmtId="0" fontId="24" fillId="10" borderId="0" xfId="0" applyFont="1" applyFill="1"/>
    <xf numFmtId="0" fontId="24" fillId="6" borderId="2" xfId="0" applyFont="1" applyFill="1" applyBorder="1"/>
    <xf numFmtId="0" fontId="24" fillId="6" borderId="3" xfId="0" applyFont="1" applyFill="1" applyBorder="1"/>
    <xf numFmtId="0" fontId="24" fillId="6" borderId="1" xfId="0" applyFont="1" applyFill="1" applyBorder="1" applyAlignment="1">
      <alignment horizontal="left" vertical="center" wrapText="1"/>
    </xf>
    <xf numFmtId="0" fontId="0" fillId="0" borderId="0" xfId="0" applyAlignment="1">
      <alignment horizontal="left"/>
    </xf>
    <xf numFmtId="9" fontId="0" fillId="0" borderId="0" xfId="2" applyFont="1" applyFill="1" applyBorder="1" applyAlignment="1" applyProtection="1"/>
    <xf numFmtId="0" fontId="0" fillId="6" borderId="17" xfId="0" applyFill="1" applyBorder="1"/>
    <xf numFmtId="178" fontId="0" fillId="0" borderId="1" xfId="1" applyNumberFormat="1" applyFont="1" applyFill="1" applyBorder="1" applyAlignment="1" applyProtection="1">
      <alignment shrinkToFit="1"/>
    </xf>
    <xf numFmtId="0" fontId="21" fillId="6" borderId="5" xfId="0" applyFont="1" applyFill="1" applyBorder="1"/>
    <xf numFmtId="0" fontId="21" fillId="6" borderId="2" xfId="0" applyFont="1" applyFill="1" applyBorder="1"/>
    <xf numFmtId="0" fontId="0" fillId="6" borderId="1" xfId="0" applyFill="1" applyBorder="1" applyAlignment="1">
      <alignment vertical="center" shrinkToFit="1"/>
    </xf>
    <xf numFmtId="189" fontId="0" fillId="0" borderId="1" xfId="1" applyNumberFormat="1" applyFont="1" applyBorder="1" applyAlignment="1" applyProtection="1">
      <alignment vertical="center"/>
    </xf>
    <xf numFmtId="0" fontId="0" fillId="6" borderId="29" xfId="0" applyFill="1" applyBorder="1"/>
    <xf numFmtId="0" fontId="0" fillId="6" borderId="21" xfId="0" applyFill="1" applyBorder="1"/>
    <xf numFmtId="0" fontId="21" fillId="6" borderId="1" xfId="0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center"/>
    </xf>
    <xf numFmtId="38" fontId="0" fillId="0" borderId="0" xfId="1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vertical="center"/>
      <protection locked="0"/>
    </xf>
    <xf numFmtId="0" fontId="24" fillId="2" borderId="1" xfId="0" applyFont="1" applyFill="1" applyBorder="1" applyAlignment="1" applyProtection="1">
      <alignment vertical="center"/>
      <protection locked="0"/>
    </xf>
    <xf numFmtId="188" fontId="0" fillId="0" borderId="0" xfId="1" applyNumberFormat="1" applyFont="1" applyFill="1" applyBorder="1" applyAlignment="1" applyProtection="1">
      <alignment horizontal="right" vertical="center"/>
    </xf>
    <xf numFmtId="0" fontId="0" fillId="6" borderId="6" xfId="0" applyFill="1" applyBorder="1"/>
    <xf numFmtId="0" fontId="0" fillId="0" borderId="34" xfId="0" applyBorder="1"/>
    <xf numFmtId="188" fontId="0" fillId="0" borderId="1" xfId="1" applyNumberFormat="1" applyFont="1" applyFill="1" applyBorder="1" applyAlignment="1" applyProtection="1">
      <alignment horizontal="right" vertical="center"/>
    </xf>
    <xf numFmtId="195" fontId="0" fillId="0" borderId="1" xfId="1" applyNumberFormat="1" applyFont="1" applyFill="1" applyBorder="1" applyAlignment="1" applyProtection="1">
      <alignment horizontal="right" vertical="center"/>
    </xf>
    <xf numFmtId="0" fontId="0" fillId="0" borderId="0" xfId="5" applyNumberFormat="1" applyFont="1" applyFill="1" applyBorder="1" applyAlignment="1" applyProtection="1">
      <alignment horizontal="center" vertical="center" shrinkToFit="1"/>
    </xf>
    <xf numFmtId="0" fontId="15" fillId="0" borderId="0" xfId="3" applyAlignment="1">
      <alignment vertical="center" shrinkToFit="1"/>
    </xf>
    <xf numFmtId="0" fontId="10" fillId="0" borderId="0" xfId="5" applyNumberFormat="1" applyFont="1" applyFill="1" applyBorder="1" applyAlignment="1" applyProtection="1">
      <alignment horizontal="center" vertical="center" shrinkToFit="1"/>
    </xf>
    <xf numFmtId="179" fontId="15" fillId="0" borderId="0" xfId="5" applyNumberFormat="1" applyFont="1" applyFill="1" applyBorder="1" applyAlignment="1" applyProtection="1">
      <alignment horizontal="center" vertical="center" shrinkToFit="1"/>
    </xf>
    <xf numFmtId="0" fontId="23" fillId="0" borderId="11" xfId="0" applyFont="1" applyBorder="1" applyAlignment="1">
      <alignment horizontal="right" vertical="center"/>
    </xf>
    <xf numFmtId="0" fontId="23" fillId="0" borderId="1" xfId="0" applyFont="1" applyBorder="1" applyAlignment="1">
      <alignment horizontal="right" vertical="center"/>
    </xf>
    <xf numFmtId="188" fontId="23" fillId="0" borderId="1" xfId="0" applyNumberFormat="1" applyFont="1" applyBorder="1" applyAlignment="1">
      <alignment horizontal="right" vertical="center"/>
    </xf>
    <xf numFmtId="187" fontId="23" fillId="0" borderId="11" xfId="0" applyNumberFormat="1" applyFont="1" applyBorder="1" applyAlignment="1">
      <alignment horizontal="right" vertical="center"/>
    </xf>
    <xf numFmtId="188" fontId="23" fillId="0" borderId="1" xfId="1" applyNumberFormat="1" applyFont="1" applyBorder="1" applyAlignment="1" applyProtection="1">
      <alignment horizontal="right" vertical="center"/>
    </xf>
    <xf numFmtId="192" fontId="23" fillId="0" borderId="1" xfId="0" applyNumberFormat="1" applyFont="1" applyBorder="1" applyAlignment="1">
      <alignment horizontal="right" vertical="center"/>
    </xf>
    <xf numFmtId="190" fontId="23" fillId="0" borderId="1" xfId="0" applyNumberFormat="1" applyFont="1" applyBorder="1" applyAlignment="1">
      <alignment horizontal="right" vertical="center"/>
    </xf>
    <xf numFmtId="193" fontId="23" fillId="0" borderId="1" xfId="0" applyNumberFormat="1" applyFont="1" applyBorder="1" applyAlignment="1">
      <alignment horizontal="right"/>
    </xf>
    <xf numFmtId="0" fontId="23" fillId="0" borderId="11" xfId="0" applyFont="1" applyBorder="1" applyAlignment="1">
      <alignment shrinkToFit="1"/>
    </xf>
    <xf numFmtId="38" fontId="23" fillId="0" borderId="1" xfId="1" applyFont="1" applyBorder="1" applyAlignment="1" applyProtection="1">
      <alignment horizontal="right" shrinkToFit="1"/>
    </xf>
    <xf numFmtId="0" fontId="23" fillId="0" borderId="11" xfId="0" applyFont="1" applyBorder="1" applyAlignment="1">
      <alignment horizontal="center" shrinkToFit="1"/>
    </xf>
    <xf numFmtId="38" fontId="23" fillId="0" borderId="11" xfId="1" applyFont="1" applyBorder="1" applyAlignment="1" applyProtection="1">
      <alignment horizontal="right" shrinkToFit="1"/>
    </xf>
    <xf numFmtId="0" fontId="23" fillId="0" borderId="12" xfId="0" applyFont="1" applyBorder="1"/>
    <xf numFmtId="184" fontId="23" fillId="0" borderId="1" xfId="0" applyNumberFormat="1" applyFont="1" applyBorder="1" applyAlignment="1">
      <alignment horizontal="right" shrinkToFit="1"/>
    </xf>
    <xf numFmtId="193" fontId="23" fillId="0" borderId="1" xfId="1" applyNumberFormat="1" applyFont="1" applyBorder="1" applyAlignment="1" applyProtection="1">
      <alignment horizontal="right" shrinkToFit="1"/>
    </xf>
    <xf numFmtId="178" fontId="23" fillId="0" borderId="1" xfId="0" applyNumberFormat="1" applyFont="1" applyBorder="1" applyAlignment="1">
      <alignment horizontal="right" shrinkToFit="1"/>
    </xf>
    <xf numFmtId="178" fontId="23" fillId="0" borderId="1" xfId="1" applyNumberFormat="1" applyFont="1" applyBorder="1" applyAlignment="1" applyProtection="1">
      <alignment horizontal="right" shrinkToFit="1"/>
    </xf>
    <xf numFmtId="193" fontId="28" fillId="0" borderId="10" xfId="1" applyNumberFormat="1" applyFont="1" applyBorder="1" applyAlignment="1" applyProtection="1">
      <alignment horizontal="right" vertical="center"/>
    </xf>
    <xf numFmtId="193" fontId="23" fillId="0" borderId="10" xfId="0" applyNumberFormat="1" applyFont="1" applyBorder="1" applyAlignment="1">
      <alignment horizontal="right" vertical="center"/>
    </xf>
    <xf numFmtId="189" fontId="23" fillId="0" borderId="10" xfId="1" applyNumberFormat="1" applyFont="1" applyBorder="1" applyAlignment="1" applyProtection="1">
      <alignment horizontal="right" vertical="center"/>
    </xf>
    <xf numFmtId="193" fontId="23" fillId="0" borderId="10" xfId="1" applyNumberFormat="1" applyFont="1" applyBorder="1" applyAlignment="1" applyProtection="1">
      <alignment horizontal="right" vertical="center"/>
    </xf>
    <xf numFmtId="0" fontId="23" fillId="0" borderId="11" xfId="0" applyFont="1" applyBorder="1" applyAlignment="1">
      <alignment horizontal="right"/>
    </xf>
    <xf numFmtId="184" fontId="23" fillId="0" borderId="1" xfId="0" applyNumberFormat="1" applyFont="1" applyBorder="1" applyAlignment="1">
      <alignment horizontal="right"/>
    </xf>
    <xf numFmtId="0" fontId="0" fillId="6" borderId="27" xfId="0" applyFill="1" applyBorder="1"/>
    <xf numFmtId="0" fontId="12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 wrapText="1"/>
    </xf>
    <xf numFmtId="14" fontId="0" fillId="0" borderId="0" xfId="0" applyNumberFormat="1" applyAlignment="1">
      <alignment horizontal="center" vertical="center"/>
    </xf>
    <xf numFmtId="14" fontId="0" fillId="6" borderId="1" xfId="0" applyNumberFormat="1" applyFill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9" fontId="0" fillId="12" borderId="1" xfId="2" applyFont="1" applyFill="1" applyBorder="1" applyAlignment="1" applyProtection="1">
      <protection locked="0"/>
    </xf>
    <xf numFmtId="9" fontId="0" fillId="12" borderId="1" xfId="0" applyNumberFormat="1" applyFill="1" applyBorder="1" applyAlignment="1" applyProtection="1">
      <alignment shrinkToFit="1"/>
      <protection locked="0"/>
    </xf>
    <xf numFmtId="0" fontId="0" fillId="8" borderId="1" xfId="0" applyFill="1" applyBorder="1"/>
    <xf numFmtId="0" fontId="0" fillId="10" borderId="1" xfId="0" applyFill="1" applyBorder="1"/>
    <xf numFmtId="185" fontId="21" fillId="2" borderId="1" xfId="0" applyNumberFormat="1" applyFont="1" applyFill="1" applyBorder="1" applyProtection="1">
      <protection locked="0"/>
    </xf>
    <xf numFmtId="0" fontId="19" fillId="0" borderId="0" xfId="0" applyFont="1"/>
    <xf numFmtId="0" fontId="0" fillId="6" borderId="2" xfId="0" applyFill="1" applyBorder="1" applyAlignment="1">
      <alignment horizontal="centerContinuous"/>
    </xf>
    <xf numFmtId="0" fontId="0" fillId="6" borderId="3" xfId="0" applyFill="1" applyBorder="1" applyAlignment="1">
      <alignment horizontal="centerContinuous"/>
    </xf>
    <xf numFmtId="0" fontId="0" fillId="6" borderId="1" xfId="0" applyFill="1" applyBorder="1" applyAlignment="1">
      <alignment horizontal="centerContinuous"/>
    </xf>
    <xf numFmtId="178" fontId="0" fillId="0" borderId="1" xfId="1" applyNumberFormat="1" applyFont="1" applyBorder="1" applyAlignment="1" applyProtection="1"/>
    <xf numFmtId="179" fontId="0" fillId="0" borderId="1" xfId="0" applyNumberFormat="1" applyBorder="1"/>
    <xf numFmtId="0" fontId="0" fillId="2" borderId="1" xfId="0" applyFill="1" applyBorder="1"/>
    <xf numFmtId="0" fontId="0" fillId="3" borderId="1" xfId="0" applyFill="1" applyBorder="1" applyAlignment="1">
      <alignment shrinkToFit="1"/>
    </xf>
    <xf numFmtId="0" fontId="0" fillId="4" borderId="1" xfId="0" applyFill="1" applyBorder="1"/>
    <xf numFmtId="0" fontId="26" fillId="0" borderId="0" xfId="0" applyFont="1"/>
    <xf numFmtId="0" fontId="0" fillId="6" borderId="1" xfId="0" applyFill="1" applyBorder="1" applyAlignment="1">
      <alignment horizontal="center" vertical="center" shrinkToFit="1"/>
    </xf>
    <xf numFmtId="38" fontId="0" fillId="0" borderId="1" xfId="1" applyFont="1" applyFill="1" applyBorder="1" applyAlignment="1" applyProtection="1">
      <alignment shrinkToFit="1"/>
    </xf>
    <xf numFmtId="187" fontId="0" fillId="0" borderId="1" xfId="1" applyNumberFormat="1" applyFont="1" applyFill="1" applyBorder="1" applyAlignment="1" applyProtection="1">
      <alignment shrinkToFit="1"/>
    </xf>
    <xf numFmtId="187" fontId="0" fillId="0" borderId="11" xfId="1" applyNumberFormat="1" applyFont="1" applyFill="1" applyBorder="1" applyAlignment="1" applyProtection="1">
      <alignment shrinkToFit="1"/>
    </xf>
    <xf numFmtId="187" fontId="0" fillId="0" borderId="11" xfId="0" applyNumberFormat="1" applyBorder="1"/>
    <xf numFmtId="0" fontId="9" fillId="0" borderId="0" xfId="0" applyFont="1" applyAlignment="1">
      <alignment horizontal="center"/>
    </xf>
    <xf numFmtId="9" fontId="0" fillId="0" borderId="0" xfId="2" applyFont="1" applyFill="1" applyBorder="1" applyAlignment="1" applyProtection="1">
      <alignment horizontal="center" vertical="center"/>
    </xf>
    <xf numFmtId="0" fontId="23" fillId="0" borderId="0" xfId="0" applyFont="1" applyAlignment="1">
      <alignment vertical="center"/>
    </xf>
    <xf numFmtId="0" fontId="0" fillId="0" borderId="0" xfId="0" applyAlignment="1">
      <alignment vertical="top"/>
    </xf>
    <xf numFmtId="9" fontId="0" fillId="0" borderId="25" xfId="2" applyFont="1" applyFill="1" applyBorder="1" applyAlignment="1" applyProtection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 vertical="top"/>
    </xf>
    <xf numFmtId="184" fontId="0" fillId="0" borderId="2" xfId="0" applyNumberFormat="1" applyBorder="1" applyAlignment="1">
      <alignment vertical="center"/>
    </xf>
    <xf numFmtId="0" fontId="23" fillId="0" borderId="0" xfId="0" applyFont="1" applyAlignment="1">
      <alignment vertical="top"/>
    </xf>
    <xf numFmtId="184" fontId="0" fillId="0" borderId="1" xfId="0" applyNumberFormat="1" applyBorder="1" applyAlignment="1">
      <alignment vertical="center" wrapText="1"/>
    </xf>
    <xf numFmtId="0" fontId="28" fillId="0" borderId="0" xfId="0" applyFont="1"/>
    <xf numFmtId="0" fontId="23" fillId="6" borderId="16" xfId="0" applyFont="1" applyFill="1" applyBorder="1" applyAlignment="1">
      <alignment vertical="top"/>
    </xf>
    <xf numFmtId="0" fontId="23" fillId="6" borderId="17" xfId="0" applyFont="1" applyFill="1" applyBorder="1" applyAlignment="1">
      <alignment vertical="top"/>
    </xf>
    <xf numFmtId="0" fontId="23" fillId="6" borderId="29" xfId="0" applyFont="1" applyFill="1" applyBorder="1" applyAlignment="1">
      <alignment vertical="top"/>
    </xf>
    <xf numFmtId="0" fontId="25" fillId="0" borderId="32" xfId="6" applyFill="1" applyBorder="1" applyAlignment="1" applyProtection="1">
      <alignment vertical="top"/>
    </xf>
    <xf numFmtId="0" fontId="23" fillId="6" borderId="26" xfId="0" applyFont="1" applyFill="1" applyBorder="1" applyAlignment="1">
      <alignment vertical="top"/>
    </xf>
    <xf numFmtId="0" fontId="23" fillId="6" borderId="21" xfId="0" applyFont="1" applyFill="1" applyBorder="1" applyAlignment="1">
      <alignment vertical="top"/>
    </xf>
    <xf numFmtId="0" fontId="23" fillId="6" borderId="27" xfId="0" applyFont="1" applyFill="1" applyBorder="1" applyAlignment="1">
      <alignment vertical="top"/>
    </xf>
    <xf numFmtId="0" fontId="31" fillId="0" borderId="0" xfId="6" applyFont="1" applyProtection="1"/>
    <xf numFmtId="0" fontId="20" fillId="0" borderId="0" xfId="0" applyFont="1" applyAlignment="1">
      <alignment horizontal="center"/>
    </xf>
    <xf numFmtId="0" fontId="0" fillId="6" borderId="5" xfId="0" applyFill="1" applyBorder="1" applyAlignment="1">
      <alignment horizontal="centerContinuous"/>
    </xf>
    <xf numFmtId="0" fontId="29" fillId="6" borderId="1" xfId="0" applyFont="1" applyFill="1" applyBorder="1" applyAlignment="1">
      <alignment horizontal="left" vertical="center" wrapText="1"/>
    </xf>
    <xf numFmtId="0" fontId="11" fillId="6" borderId="1" xfId="0" applyFont="1" applyFill="1" applyBorder="1" applyAlignment="1">
      <alignment horizontal="left" vertical="center" wrapText="1"/>
    </xf>
    <xf numFmtId="180" fontId="0" fillId="6" borderId="1" xfId="0" applyNumberFormat="1" applyFill="1" applyBorder="1" applyAlignment="1">
      <alignment horizontal="center"/>
    </xf>
    <xf numFmtId="0" fontId="0" fillId="6" borderId="11" xfId="0" applyFill="1" applyBorder="1" applyAlignment="1">
      <alignment horizontal="center" wrapText="1"/>
    </xf>
    <xf numFmtId="0" fontId="23" fillId="0" borderId="11" xfId="0" applyFont="1" applyBorder="1" applyAlignment="1">
      <alignment horizontal="center"/>
    </xf>
    <xf numFmtId="0" fontId="23" fillId="0" borderId="1" xfId="0" applyFont="1" applyBorder="1" applyAlignment="1">
      <alignment horizontal="right"/>
    </xf>
    <xf numFmtId="0" fontId="23" fillId="0" borderId="11" xfId="0" applyFont="1" applyBorder="1"/>
    <xf numFmtId="0" fontId="23" fillId="0" borderId="11" xfId="0" applyFont="1" applyBorder="1" applyAlignment="1">
      <alignment horizontal="center" wrapText="1"/>
    </xf>
    <xf numFmtId="188" fontId="23" fillId="0" borderId="1" xfId="1" applyNumberFormat="1" applyFont="1" applyFill="1" applyBorder="1" applyAlignment="1" applyProtection="1">
      <alignment horizontal="right"/>
    </xf>
    <xf numFmtId="0" fontId="0" fillId="2" borderId="1" xfId="0" applyFill="1" applyBorder="1" applyAlignment="1">
      <alignment wrapText="1"/>
    </xf>
    <xf numFmtId="0" fontId="0" fillId="2" borderId="1" xfId="0" applyFill="1" applyBorder="1" applyAlignment="1">
      <alignment horizontal="right"/>
    </xf>
    <xf numFmtId="0" fontId="0" fillId="3" borderId="1" xfId="0" applyFill="1" applyBorder="1" applyAlignment="1">
      <alignment horizontal="center"/>
    </xf>
    <xf numFmtId="188" fontId="0" fillId="0" borderId="1" xfId="1" applyNumberFormat="1" applyFont="1" applyFill="1" applyBorder="1" applyAlignment="1" applyProtection="1"/>
    <xf numFmtId="0" fontId="0" fillId="0" borderId="0" xfId="0" applyAlignment="1">
      <alignment wrapText="1"/>
    </xf>
    <xf numFmtId="180" fontId="0" fillId="0" borderId="0" xfId="0" applyNumberFormat="1"/>
    <xf numFmtId="0" fontId="0" fillId="0" borderId="0" xfId="0" applyAlignment="1">
      <alignment horizontal="right"/>
    </xf>
    <xf numFmtId="38" fontId="0" fillId="0" borderId="0" xfId="1" applyFont="1" applyFill="1" applyBorder="1" applyAlignment="1" applyProtection="1">
      <alignment horizontal="right"/>
    </xf>
    <xf numFmtId="184" fontId="0" fillId="0" borderId="0" xfId="0" applyNumberFormat="1" applyAlignment="1">
      <alignment horizontal="right"/>
    </xf>
    <xf numFmtId="38" fontId="21" fillId="0" borderId="0" xfId="1" applyFont="1" applyFill="1" applyBorder="1" applyAlignment="1" applyProtection="1"/>
    <xf numFmtId="38" fontId="0" fillId="0" borderId="0" xfId="1" applyFont="1" applyFill="1" applyBorder="1" applyAlignment="1" applyProtection="1"/>
    <xf numFmtId="193" fontId="0" fillId="0" borderId="0" xfId="0" applyNumberFormat="1" applyAlignment="1">
      <alignment horizontal="right"/>
    </xf>
    <xf numFmtId="188" fontId="0" fillId="0" borderId="0" xfId="1" applyNumberFormat="1" applyFont="1" applyFill="1" applyBorder="1" applyAlignment="1" applyProtection="1"/>
    <xf numFmtId="0" fontId="31" fillId="0" borderId="0" xfId="6" applyFont="1" applyFill="1" applyProtection="1"/>
    <xf numFmtId="0" fontId="0" fillId="0" borderId="11" xfId="0" applyBorder="1" applyAlignment="1">
      <alignment horizontal="center"/>
    </xf>
    <xf numFmtId="0" fontId="0" fillId="0" borderId="11" xfId="0" applyBorder="1" applyAlignment="1">
      <alignment horizontal="center" wrapText="1"/>
    </xf>
    <xf numFmtId="9" fontId="0" fillId="0" borderId="0" xfId="2" applyFont="1" applyFill="1" applyBorder="1" applyAlignment="1" applyProtection="1">
      <alignment horizontal="center"/>
    </xf>
    <xf numFmtId="0" fontId="0" fillId="6" borderId="21" xfId="0" applyFill="1" applyBorder="1" applyAlignment="1">
      <alignment vertical="top"/>
    </xf>
    <xf numFmtId="9" fontId="0" fillId="12" borderId="1" xfId="2" applyFont="1" applyFill="1" applyBorder="1" applyAlignment="1" applyProtection="1"/>
    <xf numFmtId="0" fontId="0" fillId="6" borderId="2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24" fillId="8" borderId="2" xfId="0" applyFont="1" applyFill="1" applyBorder="1"/>
    <xf numFmtId="0" fontId="24" fillId="8" borderId="5" xfId="0" applyFont="1" applyFill="1" applyBorder="1"/>
    <xf numFmtId="0" fontId="24" fillId="10" borderId="2" xfId="0" applyFont="1" applyFill="1" applyBorder="1"/>
    <xf numFmtId="0" fontId="24" fillId="10" borderId="5" xfId="0" applyFont="1" applyFill="1" applyBorder="1"/>
    <xf numFmtId="188" fontId="0" fillId="2" borderId="1" xfId="1" applyNumberFormat="1" applyFont="1" applyFill="1" applyBorder="1" applyAlignment="1" applyProtection="1"/>
    <xf numFmtId="38" fontId="0" fillId="0" borderId="0" xfId="1" applyFont="1" applyFill="1" applyBorder="1" applyAlignment="1" applyProtection="1">
      <alignment horizontal="center" vertical="center" shrinkToFit="1"/>
    </xf>
    <xf numFmtId="0" fontId="0" fillId="2" borderId="1" xfId="0" applyFill="1" applyBorder="1" applyAlignment="1">
      <alignment shrinkToFit="1"/>
    </xf>
    <xf numFmtId="186" fontId="0" fillId="2" borderId="1" xfId="0" applyNumberFormat="1" applyFill="1" applyBorder="1" applyAlignment="1">
      <alignment vertical="center" shrinkToFit="1"/>
    </xf>
    <xf numFmtId="191" fontId="0" fillId="2" borderId="1" xfId="0" applyNumberFormat="1" applyFill="1" applyBorder="1" applyAlignment="1">
      <alignment shrinkToFit="1"/>
    </xf>
    <xf numFmtId="9" fontId="0" fillId="0" borderId="0" xfId="2" applyFont="1" applyFill="1" applyBorder="1" applyAlignment="1" applyProtection="1">
      <alignment horizontal="right"/>
    </xf>
    <xf numFmtId="0" fontId="23" fillId="6" borderId="31" xfId="0" applyFont="1" applyFill="1" applyBorder="1" applyAlignment="1">
      <alignment vertical="top"/>
    </xf>
    <xf numFmtId="0" fontId="0" fillId="6" borderId="6" xfId="0" applyFill="1" applyBorder="1" applyAlignment="1">
      <alignment vertical="top"/>
    </xf>
    <xf numFmtId="0" fontId="23" fillId="0" borderId="34" xfId="0" applyFont="1" applyBorder="1" applyAlignment="1">
      <alignment vertical="top"/>
    </xf>
    <xf numFmtId="0" fontId="25" fillId="0" borderId="34" xfId="6" applyFill="1" applyBorder="1" applyAlignment="1" applyProtection="1">
      <alignment vertical="top"/>
    </xf>
    <xf numFmtId="0" fontId="0" fillId="6" borderId="5" xfId="0" applyFill="1" applyBorder="1" applyAlignment="1">
      <alignment horizontal="center"/>
    </xf>
    <xf numFmtId="0" fontId="23" fillId="0" borderId="1" xfId="0" applyFont="1" applyBorder="1"/>
    <xf numFmtId="0" fontId="21" fillId="3" borderId="1" xfId="0" applyFont="1" applyFill="1" applyBorder="1" applyAlignment="1">
      <alignment horizontal="center"/>
    </xf>
    <xf numFmtId="0" fontId="21" fillId="2" borderId="1" xfId="0" applyFont="1" applyFill="1" applyBorder="1"/>
    <xf numFmtId="193" fontId="24" fillId="0" borderId="1" xfId="1" applyNumberFormat="1" applyFont="1" applyFill="1" applyBorder="1" applyAlignment="1" applyProtection="1"/>
    <xf numFmtId="2" fontId="0" fillId="2" borderId="1" xfId="0" applyNumberFormat="1" applyFill="1" applyBorder="1" applyAlignment="1">
      <alignment shrinkToFit="1"/>
    </xf>
    <xf numFmtId="189" fontId="0" fillId="0" borderId="1" xfId="1" applyNumberFormat="1" applyFont="1" applyBorder="1" applyAlignment="1" applyProtection="1"/>
    <xf numFmtId="193" fontId="0" fillId="0" borderId="1" xfId="1" applyNumberFormat="1" applyFont="1" applyFill="1" applyBorder="1" applyAlignment="1" applyProtection="1"/>
    <xf numFmtId="0" fontId="24" fillId="2" borderId="1" xfId="0" applyFont="1" applyFill="1" applyBorder="1"/>
    <xf numFmtId="176" fontId="21" fillId="2" borderId="1" xfId="0" applyNumberFormat="1" applyFont="1" applyFill="1" applyBorder="1"/>
    <xf numFmtId="0" fontId="24" fillId="3" borderId="1" xfId="0" applyFont="1" applyFill="1" applyBorder="1" applyAlignment="1">
      <alignment horizontal="center"/>
    </xf>
    <xf numFmtId="176" fontId="24" fillId="2" borderId="1" xfId="0" applyNumberFormat="1" applyFont="1" applyFill="1" applyBorder="1"/>
    <xf numFmtId="189" fontId="0" fillId="0" borderId="0" xfId="1" applyNumberFormat="1" applyFont="1" applyFill="1" applyBorder="1" applyAlignment="1" applyProtection="1">
      <alignment vertical="center" wrapText="1"/>
    </xf>
    <xf numFmtId="189" fontId="0" fillId="0" borderId="1" xfId="1" applyNumberFormat="1" applyFont="1" applyBorder="1" applyAlignment="1" applyProtection="1">
      <alignment vertical="center" wrapText="1"/>
    </xf>
    <xf numFmtId="188" fontId="0" fillId="0" borderId="0" xfId="0" applyNumberFormat="1" applyAlignment="1">
      <alignment vertical="center" wrapText="1"/>
    </xf>
    <xf numFmtId="9" fontId="0" fillId="0" borderId="0" xfId="2" applyFont="1" applyBorder="1" applyAlignment="1" applyProtection="1">
      <alignment vertical="center"/>
    </xf>
    <xf numFmtId="188" fontId="0" fillId="0" borderId="1" xfId="0" applyNumberFormat="1" applyBorder="1" applyAlignment="1">
      <alignment vertical="center"/>
    </xf>
    <xf numFmtId="0" fontId="11" fillId="6" borderId="1" xfId="0" applyFont="1" applyFill="1" applyBorder="1" applyAlignment="1">
      <alignment horizontal="center" vertical="center" wrapText="1"/>
    </xf>
    <xf numFmtId="0" fontId="5" fillId="0" borderId="0" xfId="4">
      <alignment vertical="center"/>
    </xf>
    <xf numFmtId="0" fontId="4" fillId="0" borderId="0" xfId="4" applyFont="1">
      <alignment vertical="center"/>
    </xf>
    <xf numFmtId="0" fontId="25" fillId="0" borderId="0" xfId="6" applyAlignment="1" applyProtection="1">
      <alignment vertical="center"/>
    </xf>
    <xf numFmtId="181" fontId="0" fillId="0" borderId="1" xfId="5" applyNumberFormat="1" applyFont="1" applyFill="1" applyBorder="1" applyAlignment="1" applyProtection="1">
      <alignment vertical="center" shrinkToFit="1"/>
    </xf>
    <xf numFmtId="0" fontId="15" fillId="0" borderId="1" xfId="3" applyBorder="1" applyAlignment="1">
      <alignment vertical="center" wrapText="1"/>
    </xf>
    <xf numFmtId="0" fontId="30" fillId="0" borderId="0" xfId="4" applyFont="1">
      <alignment vertical="center"/>
    </xf>
    <xf numFmtId="180" fontId="0" fillId="0" borderId="0" xfId="5" applyNumberFormat="1" applyFont="1" applyFill="1" applyBorder="1" applyAlignment="1" applyProtection="1">
      <alignment horizontal="right" vertical="center" shrinkToFit="1"/>
    </xf>
    <xf numFmtId="181" fontId="0" fillId="0" borderId="0" xfId="5" applyNumberFormat="1" applyFont="1" applyFill="1" applyBorder="1" applyAlignment="1" applyProtection="1">
      <alignment vertical="center" shrinkToFit="1"/>
    </xf>
    <xf numFmtId="0" fontId="3" fillId="0" borderId="0" xfId="4" applyFont="1">
      <alignment vertical="center"/>
    </xf>
    <xf numFmtId="0" fontId="15" fillId="0" borderId="1" xfId="0" applyFont="1" applyBorder="1" applyAlignment="1">
      <alignment vertical="center" wrapText="1" shrinkToFit="1"/>
    </xf>
    <xf numFmtId="179" fontId="5" fillId="0" borderId="0" xfId="4" applyNumberFormat="1">
      <alignment vertical="center"/>
    </xf>
    <xf numFmtId="185" fontId="24" fillId="2" borderId="1" xfId="0" applyNumberFormat="1" applyFont="1" applyFill="1" applyBorder="1" applyProtection="1">
      <protection locked="0"/>
    </xf>
    <xf numFmtId="9" fontId="0" fillId="6" borderId="1" xfId="2" applyFont="1" applyFill="1" applyBorder="1" applyAlignment="1" applyProtection="1">
      <alignment horizontal="center"/>
    </xf>
    <xf numFmtId="0" fontId="0" fillId="12" borderId="1" xfId="2" applyNumberFormat="1" applyFont="1" applyFill="1" applyBorder="1" applyAlignment="1" applyProtection="1">
      <protection locked="0"/>
    </xf>
    <xf numFmtId="191" fontId="0" fillId="0" borderId="1" xfId="0" applyNumberFormat="1" applyBorder="1"/>
    <xf numFmtId="0" fontId="0" fillId="6" borderId="0" xfId="0" applyFill="1"/>
    <xf numFmtId="0" fontId="23" fillId="6" borderId="0" xfId="0" applyFont="1" applyFill="1" applyAlignment="1">
      <alignment vertical="top"/>
    </xf>
    <xf numFmtId="0" fontId="23" fillId="6" borderId="37" xfId="0" applyFont="1" applyFill="1" applyBorder="1" applyAlignment="1">
      <alignment vertical="top"/>
    </xf>
    <xf numFmtId="184" fontId="23" fillId="7" borderId="1" xfId="0" applyNumberFormat="1" applyFont="1" applyFill="1" applyBorder="1" applyAlignment="1">
      <alignment vertical="center" wrapText="1"/>
    </xf>
    <xf numFmtId="188" fontId="23" fillId="7" borderId="1" xfId="1" applyNumberFormat="1" applyFont="1" applyFill="1" applyBorder="1" applyAlignment="1" applyProtection="1">
      <alignment horizontal="right" vertical="center"/>
    </xf>
    <xf numFmtId="193" fontId="0" fillId="7" borderId="1" xfId="0" applyNumberFormat="1" applyFill="1" applyBorder="1"/>
    <xf numFmtId="178" fontId="0" fillId="7" borderId="1" xfId="0" applyNumberFormat="1" applyFill="1" applyBorder="1" applyAlignment="1">
      <alignment shrinkToFit="1"/>
    </xf>
    <xf numFmtId="184" fontId="23" fillId="7" borderId="1" xfId="0" applyNumberFormat="1" applyFont="1" applyFill="1" applyBorder="1" applyAlignment="1">
      <alignment horizontal="right" vertical="center" wrapText="1"/>
    </xf>
    <xf numFmtId="188" fontId="23" fillId="7" borderId="1" xfId="0" applyNumberFormat="1" applyFont="1" applyFill="1" applyBorder="1" applyAlignment="1">
      <alignment horizontal="right" vertical="center"/>
    </xf>
    <xf numFmtId="193" fontId="0" fillId="7" borderId="1" xfId="0" applyNumberFormat="1" applyFill="1" applyBorder="1" applyAlignment="1">
      <alignment vertical="center"/>
    </xf>
    <xf numFmtId="196" fontId="0" fillId="2" borderId="1" xfId="0" applyNumberFormat="1" applyFill="1" applyBorder="1" applyProtection="1">
      <protection locked="0"/>
    </xf>
    <xf numFmtId="0" fontId="23" fillId="6" borderId="32" xfId="0" applyFont="1" applyFill="1" applyBorder="1" applyAlignment="1">
      <alignment vertical="top"/>
    </xf>
    <xf numFmtId="0" fontId="23" fillId="6" borderId="36" xfId="0" applyFont="1" applyFill="1" applyBorder="1" applyAlignment="1">
      <alignment vertical="top"/>
    </xf>
    <xf numFmtId="0" fontId="25" fillId="0" borderId="0" xfId="6" applyFill="1" applyBorder="1" applyAlignment="1" applyProtection="1">
      <alignment horizontal="left" vertical="top"/>
    </xf>
    <xf numFmtId="187" fontId="23" fillId="0" borderId="1" xfId="0" applyNumberFormat="1" applyFont="1" applyBorder="1" applyAlignment="1">
      <alignment horizontal="right"/>
    </xf>
    <xf numFmtId="187" fontId="23" fillId="0" borderId="1" xfId="1" applyNumberFormat="1" applyFont="1" applyBorder="1" applyAlignment="1" applyProtection="1">
      <alignment horizontal="right"/>
    </xf>
    <xf numFmtId="199" fontId="23" fillId="0" borderId="1" xfId="0" applyNumberFormat="1" applyFont="1" applyBorder="1" applyAlignment="1">
      <alignment horizontal="right"/>
    </xf>
    <xf numFmtId="199" fontId="0" fillId="0" borderId="1" xfId="0" applyNumberFormat="1" applyBorder="1" applyAlignment="1">
      <alignment horizontal="right"/>
    </xf>
    <xf numFmtId="187" fontId="0" fillId="0" borderId="1" xfId="1" applyNumberFormat="1" applyFont="1" applyBorder="1" applyAlignment="1" applyProtection="1"/>
    <xf numFmtId="187" fontId="28" fillId="0" borderId="11" xfId="1" applyNumberFormat="1" applyFont="1" applyFill="1" applyBorder="1" applyAlignment="1" applyProtection="1"/>
    <xf numFmtId="187" fontId="21" fillId="0" borderId="1" xfId="1" applyNumberFormat="1" applyFont="1" applyFill="1" applyBorder="1" applyAlignment="1" applyProtection="1"/>
    <xf numFmtId="187" fontId="23" fillId="0" borderId="11" xfId="1" applyNumberFormat="1" applyFont="1" applyBorder="1" applyAlignment="1" applyProtection="1">
      <alignment horizontal="right"/>
    </xf>
    <xf numFmtId="187" fontId="0" fillId="0" borderId="1" xfId="1" applyNumberFormat="1" applyFont="1" applyBorder="1" applyAlignment="1" applyProtection="1">
      <alignment horizontal="right"/>
    </xf>
    <xf numFmtId="189" fontId="0" fillId="0" borderId="11" xfId="1" applyNumberFormat="1" applyFont="1" applyBorder="1" applyAlignment="1" applyProtection="1">
      <alignment horizontal="right"/>
    </xf>
    <xf numFmtId="189" fontId="0" fillId="0" borderId="1" xfId="1" applyNumberFormat="1" applyFont="1" applyBorder="1" applyAlignment="1" applyProtection="1">
      <alignment horizontal="right"/>
    </xf>
    <xf numFmtId="189" fontId="21" fillId="0" borderId="11" xfId="1" applyNumberFormat="1" applyFont="1" applyFill="1" applyBorder="1" applyAlignment="1" applyProtection="1"/>
    <xf numFmtId="189" fontId="21" fillId="0" borderId="1" xfId="1" applyNumberFormat="1" applyFont="1" applyFill="1" applyBorder="1" applyAlignment="1" applyProtection="1"/>
    <xf numFmtId="188" fontId="0" fillId="0" borderId="1" xfId="0" applyNumberFormat="1" applyBorder="1" applyAlignment="1">
      <alignment horizontal="right"/>
    </xf>
    <xf numFmtId="188" fontId="0" fillId="7" borderId="1" xfId="0" applyNumberFormat="1" applyFill="1" applyBorder="1" applyAlignment="1">
      <alignment horizontal="right"/>
    </xf>
    <xf numFmtId="189" fontId="23" fillId="0" borderId="1" xfId="1" applyNumberFormat="1" applyFont="1" applyBorder="1" applyAlignment="1" applyProtection="1">
      <alignment horizontal="right"/>
    </xf>
    <xf numFmtId="188" fontId="23" fillId="0" borderId="1" xfId="0" applyNumberFormat="1" applyFont="1" applyBorder="1" applyAlignment="1">
      <alignment horizontal="right"/>
    </xf>
    <xf numFmtId="0" fontId="28" fillId="9" borderId="2" xfId="0" applyFont="1" applyFill="1" applyBorder="1" applyAlignment="1">
      <alignment horizontal="centerContinuous"/>
    </xf>
    <xf numFmtId="0" fontId="24" fillId="9" borderId="5" xfId="0" applyFont="1" applyFill="1" applyBorder="1" applyAlignment="1">
      <alignment horizontal="centerContinuous"/>
    </xf>
    <xf numFmtId="0" fontId="24" fillId="9" borderId="3" xfId="0" applyFont="1" applyFill="1" applyBorder="1" applyAlignment="1">
      <alignment horizontal="centerContinuous"/>
    </xf>
    <xf numFmtId="0" fontId="13" fillId="0" borderId="1" xfId="0" applyFont="1" applyBorder="1" applyAlignment="1">
      <alignment horizontal="center" shrinkToFit="1"/>
    </xf>
    <xf numFmtId="0" fontId="23" fillId="6" borderId="1" xfId="0" applyFont="1" applyFill="1" applyBorder="1" applyAlignment="1">
      <alignment shrinkToFit="1"/>
    </xf>
    <xf numFmtId="0" fontId="23" fillId="3" borderId="1" xfId="0" applyFont="1" applyFill="1" applyBorder="1" applyAlignment="1" applyProtection="1">
      <alignment shrinkToFit="1"/>
      <protection locked="0"/>
    </xf>
    <xf numFmtId="0" fontId="32" fillId="0" borderId="0" xfId="0" applyFont="1" applyAlignment="1">
      <alignment horizontal="right" vertical="center"/>
    </xf>
    <xf numFmtId="0" fontId="0" fillId="6" borderId="3" xfId="0" applyFill="1" applyBorder="1" applyAlignment="1">
      <alignment horizontal="centerContinuous" vertical="center"/>
    </xf>
    <xf numFmtId="199" fontId="0" fillId="2" borderId="1" xfId="0" applyNumberFormat="1" applyFill="1" applyBorder="1" applyAlignment="1" applyProtection="1">
      <alignment vertical="center" shrinkToFit="1"/>
      <protection locked="0"/>
    </xf>
    <xf numFmtId="182" fontId="0" fillId="2" borderId="1" xfId="0" applyNumberFormat="1" applyFill="1" applyBorder="1" applyAlignment="1" applyProtection="1">
      <alignment shrinkToFit="1"/>
      <protection locked="0"/>
    </xf>
    <xf numFmtId="176" fontId="0" fillId="2" borderId="1" xfId="0" applyNumberFormat="1" applyFill="1" applyBorder="1" applyAlignment="1" applyProtection="1">
      <alignment vertical="center" shrinkToFit="1"/>
      <protection locked="0"/>
    </xf>
    <xf numFmtId="180" fontId="0" fillId="0" borderId="1" xfId="0" applyNumberFormat="1" applyBorder="1"/>
    <xf numFmtId="187" fontId="23" fillId="0" borderId="1" xfId="1" applyNumberFormat="1" applyFont="1" applyBorder="1" applyAlignment="1" applyProtection="1">
      <alignment horizontal="right" vertical="center"/>
    </xf>
    <xf numFmtId="187" fontId="23" fillId="0" borderId="1" xfId="0" applyNumberFormat="1" applyFont="1" applyBorder="1" applyAlignment="1">
      <alignment horizontal="right" vertical="center"/>
    </xf>
    <xf numFmtId="180" fontId="23" fillId="0" borderId="1" xfId="0" applyNumberFormat="1" applyFont="1" applyBorder="1" applyAlignment="1">
      <alignment horizontal="right" vertical="center"/>
    </xf>
    <xf numFmtId="189" fontId="23" fillId="0" borderId="1" xfId="1" applyNumberFormat="1" applyFont="1" applyBorder="1" applyAlignment="1" applyProtection="1">
      <alignment horizontal="right" vertical="center"/>
    </xf>
    <xf numFmtId="189" fontId="23" fillId="0" borderId="1" xfId="0" applyNumberFormat="1" applyFont="1" applyBorder="1" applyAlignment="1">
      <alignment horizontal="right"/>
    </xf>
    <xf numFmtId="189" fontId="0" fillId="0" borderId="1" xfId="0" applyNumberFormat="1" applyBorder="1"/>
    <xf numFmtId="188" fontId="0" fillId="7" borderId="1" xfId="0" applyNumberFormat="1" applyFill="1" applyBorder="1"/>
    <xf numFmtId="188" fontId="0" fillId="0" borderId="1" xfId="0" applyNumberFormat="1" applyBorder="1"/>
    <xf numFmtId="187" fontId="23" fillId="0" borderId="1" xfId="0" applyNumberFormat="1" applyFont="1" applyBorder="1" applyAlignment="1">
      <alignment horizontal="right" shrinkToFit="1"/>
    </xf>
    <xf numFmtId="187" fontId="0" fillId="0" borderId="1" xfId="1" applyNumberFormat="1" applyFont="1" applyBorder="1" applyAlignment="1" applyProtection="1">
      <alignment shrinkToFit="1"/>
    </xf>
    <xf numFmtId="199" fontId="0" fillId="0" borderId="1" xfId="0" applyNumberFormat="1" applyBorder="1"/>
    <xf numFmtId="0" fontId="24" fillId="6" borderId="4" xfId="0" applyFont="1" applyFill="1" applyBorder="1"/>
    <xf numFmtId="0" fontId="24" fillId="6" borderId="24" xfId="0" applyFont="1" applyFill="1" applyBorder="1"/>
    <xf numFmtId="0" fontId="24" fillId="6" borderId="6" xfId="0" applyFont="1" applyFill="1" applyBorder="1"/>
    <xf numFmtId="0" fontId="24" fillId="6" borderId="7" xfId="0" applyFont="1" applyFill="1" applyBorder="1"/>
    <xf numFmtId="0" fontId="24" fillId="6" borderId="9" xfId="0" applyFont="1" applyFill="1" applyBorder="1"/>
    <xf numFmtId="0" fontId="24" fillId="6" borderId="8" xfId="0" applyFont="1" applyFill="1" applyBorder="1"/>
    <xf numFmtId="187" fontId="0" fillId="0" borderId="1" xfId="1" applyNumberFormat="1" applyFont="1" applyFill="1" applyBorder="1" applyAlignment="1" applyProtection="1"/>
    <xf numFmtId="199" fontId="23" fillId="0" borderId="1" xfId="0" applyNumberFormat="1" applyFont="1" applyBorder="1" applyAlignment="1">
      <alignment horizontal="right" vertical="center"/>
    </xf>
    <xf numFmtId="0" fontId="0" fillId="6" borderId="10" xfId="0" applyFill="1" applyBorder="1" applyAlignment="1">
      <alignment horizontal="center" vertical="center"/>
    </xf>
    <xf numFmtId="0" fontId="0" fillId="6" borderId="10" xfId="0" applyFill="1" applyBorder="1" applyAlignment="1">
      <alignment horizontal="center" vertical="center" wrapText="1"/>
    </xf>
    <xf numFmtId="0" fontId="0" fillId="0" borderId="0" xfId="0" applyAlignment="1" applyProtection="1">
      <alignment vertical="top"/>
      <protection locked="0"/>
    </xf>
    <xf numFmtId="0" fontId="0" fillId="11" borderId="1" xfId="0" applyFill="1" applyBorder="1" applyAlignment="1">
      <alignment horizontal="center" shrinkToFit="1"/>
    </xf>
    <xf numFmtId="187" fontId="23" fillId="0" borderId="1" xfId="0" applyNumberFormat="1" applyFont="1" applyBorder="1"/>
    <xf numFmtId="187" fontId="0" fillId="2" borderId="1" xfId="0" applyNumberFormat="1" applyFill="1" applyBorder="1" applyAlignment="1" applyProtection="1">
      <alignment vertical="center" shrinkToFit="1"/>
      <protection locked="0"/>
    </xf>
    <xf numFmtId="187" fontId="20" fillId="14" borderId="1" xfId="0" applyNumberFormat="1" applyFont="1" applyFill="1" applyBorder="1" applyAlignment="1" applyProtection="1">
      <alignment shrinkToFit="1"/>
      <protection locked="0"/>
    </xf>
    <xf numFmtId="38" fontId="20" fillId="14" borderId="1" xfId="1" applyFont="1" applyFill="1" applyBorder="1" applyAlignment="1" applyProtection="1">
      <alignment shrinkToFit="1"/>
    </xf>
    <xf numFmtId="0" fontId="13" fillId="6" borderId="10" xfId="0" applyFont="1" applyFill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/>
    </xf>
    <xf numFmtId="0" fontId="0" fillId="0" borderId="1" xfId="0" applyBorder="1" applyAlignment="1" applyProtection="1">
      <alignment horizontal="center" shrinkToFit="1"/>
      <protection locked="0"/>
    </xf>
    <xf numFmtId="187" fontId="23" fillId="0" borderId="1" xfId="1" applyNumberFormat="1" applyFont="1" applyBorder="1" applyAlignment="1" applyProtection="1">
      <alignment horizontal="right" shrinkToFit="1"/>
    </xf>
    <xf numFmtId="195" fontId="0" fillId="0" borderId="0" xfId="1" applyNumberFormat="1" applyFont="1" applyFill="1" applyBorder="1" applyAlignment="1" applyProtection="1">
      <alignment horizontal="right" vertical="center"/>
    </xf>
    <xf numFmtId="184" fontId="23" fillId="0" borderId="0" xfId="0" applyNumberFormat="1" applyFont="1" applyAlignment="1">
      <alignment horizontal="right" vertical="center" wrapText="1"/>
    </xf>
    <xf numFmtId="0" fontId="36" fillId="0" borderId="1" xfId="5" applyNumberFormat="1" applyFont="1" applyBorder="1" applyAlignment="1" applyProtection="1">
      <alignment horizontal="center" vertical="center" wrapText="1" shrinkToFit="1"/>
    </xf>
    <xf numFmtId="0" fontId="36" fillId="0" borderId="1" xfId="5" applyNumberFormat="1" applyFont="1" applyFill="1" applyBorder="1" applyAlignment="1" applyProtection="1">
      <alignment horizontal="center" vertical="center" wrapText="1" shrinkToFit="1"/>
    </xf>
    <xf numFmtId="0" fontId="18" fillId="4" borderId="1" xfId="3" applyFont="1" applyFill="1" applyBorder="1" applyAlignment="1">
      <alignment horizontal="center" vertical="center" wrapText="1" shrinkToFit="1"/>
    </xf>
    <xf numFmtId="0" fontId="17" fillId="4" borderId="1" xfId="3" applyFont="1" applyFill="1" applyBorder="1" applyAlignment="1">
      <alignment horizontal="center" vertical="center" wrapText="1" shrinkToFit="1"/>
    </xf>
    <xf numFmtId="0" fontId="17" fillId="4" borderId="1" xfId="3" applyFont="1" applyFill="1" applyBorder="1" applyAlignment="1">
      <alignment horizontal="center" vertical="center" shrinkToFit="1"/>
    </xf>
    <xf numFmtId="196" fontId="18" fillId="4" borderId="1" xfId="3" applyNumberFormat="1" applyFont="1" applyFill="1" applyBorder="1" applyAlignment="1">
      <alignment horizontal="center" vertical="center" wrapText="1" shrinkToFit="1"/>
    </xf>
    <xf numFmtId="196" fontId="5" fillId="0" borderId="0" xfId="4" applyNumberFormat="1">
      <alignment vertical="center"/>
    </xf>
    <xf numFmtId="0" fontId="25" fillId="0" borderId="0" xfId="6" applyAlignment="1">
      <alignment vertical="center"/>
    </xf>
    <xf numFmtId="196" fontId="2" fillId="0" borderId="0" xfId="4" applyNumberFormat="1" applyFont="1">
      <alignment vertical="center"/>
    </xf>
    <xf numFmtId="0" fontId="37" fillId="0" borderId="0" xfId="0" applyFont="1"/>
    <xf numFmtId="178" fontId="0" fillId="0" borderId="1" xfId="5" applyNumberFormat="1" applyFont="1" applyFill="1" applyBorder="1" applyAlignment="1" applyProtection="1">
      <alignment horizontal="right" vertical="center" shrinkToFit="1"/>
    </xf>
    <xf numFmtId="0" fontId="23" fillId="0" borderId="6" xfId="0" applyFont="1" applyBorder="1" applyAlignment="1">
      <alignment horizontal="center" vertical="center" wrapText="1"/>
    </xf>
    <xf numFmtId="0" fontId="23" fillId="6" borderId="2" xfId="0" applyFont="1" applyFill="1" applyBorder="1"/>
    <xf numFmtId="0" fontId="23" fillId="6" borderId="5" xfId="0" applyFont="1" applyFill="1" applyBorder="1"/>
    <xf numFmtId="0" fontId="23" fillId="6" borderId="3" xfId="0" applyFont="1" applyFill="1" applyBorder="1"/>
    <xf numFmtId="0" fontId="23" fillId="0" borderId="6" xfId="0" applyFont="1" applyBorder="1" applyAlignment="1">
      <alignment vertical="center" wrapText="1"/>
    </xf>
    <xf numFmtId="0" fontId="0" fillId="0" borderId="19" xfId="0" applyBorder="1" applyAlignment="1">
      <alignment horizontal="center"/>
    </xf>
    <xf numFmtId="38" fontId="0" fillId="0" borderId="6" xfId="0" applyNumberFormat="1" applyBorder="1"/>
    <xf numFmtId="0" fontId="0" fillId="0" borderId="6" xfId="0" applyBorder="1" applyAlignment="1">
      <alignment horizontal="center"/>
    </xf>
    <xf numFmtId="38" fontId="0" fillId="0" borderId="6" xfId="0" applyNumberFormat="1" applyBorder="1" applyAlignment="1">
      <alignment horizontal="center"/>
    </xf>
    <xf numFmtId="0" fontId="0" fillId="3" borderId="1" xfId="0" applyFill="1" applyBorder="1" applyAlignment="1" applyProtection="1">
      <alignment horizontal="center" vertical="center"/>
      <protection locked="0"/>
    </xf>
    <xf numFmtId="186" fontId="23" fillId="0" borderId="1" xfId="0" applyNumberFormat="1" applyFont="1" applyBorder="1"/>
    <xf numFmtId="0" fontId="0" fillId="0" borderId="1" xfId="0" applyBorder="1" applyAlignment="1" applyProtection="1">
      <alignment horizontal="center"/>
      <protection locked="0"/>
    </xf>
    <xf numFmtId="0" fontId="23" fillId="0" borderId="0" xfId="0" applyFont="1" applyAlignment="1">
      <alignment horizontal="center" shrinkToFit="1"/>
    </xf>
    <xf numFmtId="0" fontId="23" fillId="0" borderId="0" xfId="0" applyFont="1" applyAlignment="1">
      <alignment shrinkToFit="1"/>
    </xf>
    <xf numFmtId="0" fontId="0" fillId="6" borderId="36" xfId="0" applyFill="1" applyBorder="1"/>
    <xf numFmtId="0" fontId="0" fillId="13" borderId="4" xfId="0" applyFill="1" applyBorder="1"/>
    <xf numFmtId="0" fontId="0" fillId="13" borderId="6" xfId="0" applyFill="1" applyBorder="1"/>
    <xf numFmtId="0" fontId="0" fillId="13" borderId="2" xfId="0" applyFill="1" applyBorder="1"/>
    <xf numFmtId="0" fontId="0" fillId="13" borderId="5" xfId="0" applyFill="1" applyBorder="1"/>
    <xf numFmtId="0" fontId="0" fillId="13" borderId="3" xfId="0" applyFill="1" applyBorder="1"/>
    <xf numFmtId="0" fontId="11" fillId="13" borderId="1" xfId="0" applyFont="1" applyFill="1" applyBorder="1" applyAlignment="1">
      <alignment vertical="center" wrapText="1"/>
    </xf>
    <xf numFmtId="0" fontId="0" fillId="13" borderId="1" xfId="0" applyFill="1" applyBorder="1" applyAlignment="1">
      <alignment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3" borderId="11" xfId="0" applyFill="1" applyBorder="1" applyAlignment="1">
      <alignment horizontal="center" shrinkToFit="1"/>
    </xf>
    <xf numFmtId="0" fontId="0" fillId="13" borderId="1" xfId="0" applyFill="1" applyBorder="1" applyAlignment="1">
      <alignment horizontal="center" shrinkToFit="1"/>
    </xf>
    <xf numFmtId="0" fontId="0" fillId="13" borderId="1" xfId="0" applyFill="1" applyBorder="1" applyAlignment="1">
      <alignment horizontal="center"/>
    </xf>
    <xf numFmtId="0" fontId="0" fillId="13" borderId="11" xfId="0" applyFill="1" applyBorder="1" applyAlignment="1">
      <alignment horizontal="center"/>
    </xf>
    <xf numFmtId="9" fontId="23" fillId="0" borderId="11" xfId="0" applyNumberFormat="1" applyFont="1" applyBorder="1" applyAlignment="1">
      <alignment horizontal="center" shrinkToFit="1"/>
    </xf>
    <xf numFmtId="0" fontId="0" fillId="3" borderId="1" xfId="0" applyFill="1" applyBorder="1" applyAlignment="1">
      <alignment vertical="center" shrinkToFit="1"/>
    </xf>
    <xf numFmtId="0" fontId="0" fillId="3" borderId="1" xfId="0" applyFill="1" applyBorder="1" applyAlignment="1">
      <alignment horizontal="left"/>
    </xf>
    <xf numFmtId="182" fontId="0" fillId="2" borderId="1" xfId="0" applyNumberFormat="1" applyFill="1" applyBorder="1" applyAlignment="1">
      <alignment shrinkToFit="1"/>
    </xf>
    <xf numFmtId="0" fontId="0" fillId="0" borderId="1" xfId="0" applyBorder="1" applyAlignment="1">
      <alignment shrinkToFit="1"/>
    </xf>
    <xf numFmtId="9" fontId="0" fillId="12" borderId="1" xfId="0" applyNumberFormat="1" applyFill="1" applyBorder="1" applyAlignment="1">
      <alignment shrinkToFit="1"/>
    </xf>
    <xf numFmtId="9" fontId="0" fillId="0" borderId="1" xfId="0" applyNumberFormat="1" applyBorder="1" applyAlignment="1">
      <alignment shrinkToFit="1"/>
    </xf>
    <xf numFmtId="183" fontId="0" fillId="0" borderId="1" xfId="0" applyNumberFormat="1" applyBorder="1"/>
    <xf numFmtId="0" fontId="0" fillId="13" borderId="11" xfId="0" applyFill="1" applyBorder="1"/>
    <xf numFmtId="196" fontId="23" fillId="0" borderId="11" xfId="0" applyNumberFormat="1" applyFont="1" applyBorder="1" applyAlignment="1">
      <alignment horizontal="center" shrinkToFit="1"/>
    </xf>
    <xf numFmtId="177" fontId="0" fillId="2" borderId="1" xfId="0" applyNumberFormat="1" applyFill="1" applyBorder="1" applyAlignment="1">
      <alignment shrinkToFit="1"/>
    </xf>
    <xf numFmtId="197" fontId="0" fillId="0" borderId="1" xfId="0" applyNumberFormat="1" applyBorder="1"/>
    <xf numFmtId="196" fontId="0" fillId="0" borderId="1" xfId="0" applyNumberFormat="1" applyBorder="1"/>
    <xf numFmtId="185" fontId="0" fillId="0" borderId="1" xfId="0" applyNumberFormat="1" applyBorder="1" applyAlignment="1">
      <alignment shrinkToFit="1"/>
    </xf>
    <xf numFmtId="0" fontId="11" fillId="0" borderId="0" xfId="0" applyFont="1" applyAlignment="1">
      <alignment vertical="center" wrapText="1"/>
    </xf>
    <xf numFmtId="0" fontId="0" fillId="0" borderId="0" xfId="0" applyAlignment="1">
      <alignment horizontal="center" shrinkToFit="1"/>
    </xf>
    <xf numFmtId="0" fontId="1" fillId="0" borderId="0" xfId="4" applyFont="1">
      <alignment vertical="center"/>
    </xf>
    <xf numFmtId="178" fontId="0" fillId="2" borderId="1" xfId="0" applyNumberFormat="1" applyFill="1" applyBorder="1" applyProtection="1">
      <protection locked="0"/>
    </xf>
    <xf numFmtId="178" fontId="0" fillId="2" borderId="1" xfId="1" applyNumberFormat="1" applyFont="1" applyFill="1" applyBorder="1" applyAlignment="1" applyProtection="1">
      <protection locked="0"/>
    </xf>
    <xf numFmtId="176" fontId="0" fillId="2" borderId="1" xfId="0" applyNumberFormat="1" applyFill="1" applyBorder="1" applyAlignment="1">
      <alignment vertical="center" shrinkToFit="1"/>
    </xf>
    <xf numFmtId="177" fontId="0" fillId="2" borderId="1" xfId="0" applyNumberFormat="1" applyFill="1" applyBorder="1" applyAlignment="1" applyProtection="1">
      <alignment shrinkToFit="1"/>
      <protection locked="0"/>
    </xf>
    <xf numFmtId="187" fontId="0" fillId="2" borderId="1" xfId="0" applyNumberFormat="1" applyFill="1" applyBorder="1" applyAlignment="1" applyProtection="1">
      <alignment shrinkToFit="1"/>
      <protection locked="0"/>
    </xf>
    <xf numFmtId="178" fontId="0" fillId="2" borderId="1" xfId="0" applyNumberFormat="1" applyFill="1" applyBorder="1" applyAlignment="1" applyProtection="1">
      <alignment vertical="center" shrinkToFit="1"/>
      <protection locked="0"/>
    </xf>
    <xf numFmtId="198" fontId="0" fillId="0" borderId="3" xfId="0" applyNumberFormat="1" applyBorder="1"/>
    <xf numFmtId="186" fontId="23" fillId="0" borderId="1" xfId="0" applyNumberFormat="1" applyFont="1" applyBorder="1" applyAlignment="1">
      <alignment horizontal="right"/>
    </xf>
    <xf numFmtId="186" fontId="0" fillId="3" borderId="1" xfId="0" applyNumberFormat="1" applyFill="1" applyBorder="1" applyAlignment="1">
      <alignment horizontal="right"/>
    </xf>
    <xf numFmtId="178" fontId="23" fillId="0" borderId="10" xfId="0" applyNumberFormat="1" applyFont="1" applyBorder="1" applyAlignment="1">
      <alignment horizontal="right" vertical="center"/>
    </xf>
    <xf numFmtId="189" fontId="23" fillId="0" borderId="1" xfId="1" applyNumberFormat="1" applyFont="1" applyBorder="1" applyAlignment="1" applyProtection="1"/>
    <xf numFmtId="198" fontId="0" fillId="0" borderId="3" xfId="0" applyNumberFormat="1" applyBorder="1" applyAlignment="1">
      <alignment vertical="center"/>
    </xf>
    <xf numFmtId="198" fontId="0" fillId="0" borderId="1" xfId="0" applyNumberFormat="1" applyBorder="1" applyAlignment="1">
      <alignment vertical="center"/>
    </xf>
    <xf numFmtId="198" fontId="23" fillId="0" borderId="1" xfId="0" applyNumberFormat="1" applyFont="1" applyBorder="1" applyAlignment="1">
      <alignment horizontal="right"/>
    </xf>
    <xf numFmtId="199" fontId="0" fillId="0" borderId="1" xfId="0" applyNumberFormat="1" applyBorder="1" applyAlignment="1">
      <alignment vertical="center"/>
    </xf>
    <xf numFmtId="189" fontId="23" fillId="0" borderId="1" xfId="1" applyNumberFormat="1" applyFont="1" applyBorder="1" applyAlignment="1" applyProtection="1">
      <alignment horizontal="right" shrinkToFit="1"/>
    </xf>
    <xf numFmtId="176" fontId="23" fillId="0" borderId="1" xfId="1" applyNumberFormat="1" applyFont="1" applyBorder="1" applyAlignment="1" applyProtection="1">
      <alignment horizontal="right" shrinkToFit="1"/>
    </xf>
    <xf numFmtId="176" fontId="0" fillId="2" borderId="1" xfId="0" applyNumberFormat="1" applyFill="1" applyBorder="1" applyAlignment="1" applyProtection="1">
      <alignment shrinkToFit="1"/>
      <protection locked="0"/>
    </xf>
    <xf numFmtId="178" fontId="0" fillId="0" borderId="1" xfId="1" applyNumberFormat="1" applyFont="1" applyBorder="1" applyAlignment="1" applyProtection="1">
      <alignment shrinkToFit="1"/>
    </xf>
    <xf numFmtId="189" fontId="0" fillId="0" borderId="1" xfId="1" applyNumberFormat="1" applyFont="1" applyFill="1" applyBorder="1" applyAlignment="1" applyProtection="1">
      <alignment shrinkToFit="1"/>
    </xf>
    <xf numFmtId="199" fontId="0" fillId="0" borderId="1" xfId="1" applyNumberFormat="1" applyFont="1" applyBorder="1" applyAlignment="1" applyProtection="1">
      <alignment shrinkToFit="1"/>
    </xf>
    <xf numFmtId="38" fontId="23" fillId="0" borderId="1" xfId="1" applyFont="1" applyBorder="1" applyAlignment="1" applyProtection="1">
      <alignment horizontal="right" vertical="center"/>
    </xf>
    <xf numFmtId="194" fontId="23" fillId="0" borderId="1" xfId="1" applyNumberFormat="1" applyFont="1" applyBorder="1" applyAlignment="1" applyProtection="1">
      <alignment horizontal="right" vertical="center"/>
    </xf>
    <xf numFmtId="196" fontId="23" fillId="0" borderId="1" xfId="0" applyNumberFormat="1" applyFont="1" applyBorder="1" applyAlignment="1">
      <alignment horizontal="right" vertical="center"/>
    </xf>
    <xf numFmtId="189" fontId="0" fillId="0" borderId="1" xfId="1" applyNumberFormat="1" applyFont="1" applyBorder="1" applyAlignment="1" applyProtection="1">
      <alignment shrinkToFit="1"/>
    </xf>
    <xf numFmtId="187" fontId="23" fillId="0" borderId="1" xfId="0" applyNumberFormat="1" applyFont="1" applyBorder="1" applyAlignment="1">
      <alignment shrinkToFit="1"/>
    </xf>
    <xf numFmtId="187" fontId="0" fillId="0" borderId="1" xfId="0" applyNumberFormat="1" applyBorder="1" applyAlignment="1">
      <alignment shrinkToFit="1"/>
    </xf>
    <xf numFmtId="189" fontId="23" fillId="0" borderId="1" xfId="1" applyNumberFormat="1" applyFont="1" applyBorder="1" applyAlignment="1" applyProtection="1">
      <alignment shrinkToFit="1"/>
    </xf>
    <xf numFmtId="187" fontId="23" fillId="0" borderId="1" xfId="1" applyNumberFormat="1" applyFont="1" applyBorder="1" applyAlignment="1" applyProtection="1">
      <alignment shrinkToFit="1"/>
    </xf>
    <xf numFmtId="0" fontId="0" fillId="3" borderId="1" xfId="0" applyFill="1" applyBorder="1" applyAlignment="1" applyProtection="1">
      <alignment horizontal="center" vertical="center" wrapText="1"/>
      <protection locked="0"/>
    </xf>
    <xf numFmtId="189" fontId="0" fillId="0" borderId="1" xfId="0" applyNumberFormat="1" applyBorder="1" applyAlignment="1">
      <alignment vertical="center"/>
    </xf>
    <xf numFmtId="189" fontId="0" fillId="0" borderId="2" xfId="0" applyNumberFormat="1" applyBorder="1" applyAlignment="1">
      <alignment vertical="center"/>
    </xf>
    <xf numFmtId="189" fontId="0" fillId="0" borderId="1" xfId="0" applyNumberFormat="1" applyBorder="1" applyAlignment="1">
      <alignment vertical="center" wrapText="1"/>
    </xf>
    <xf numFmtId="188" fontId="13" fillId="5" borderId="1" xfId="0" applyNumberFormat="1" applyFont="1" applyFill="1" applyBorder="1" applyAlignment="1">
      <alignment horizontal="right" wrapText="1"/>
    </xf>
    <xf numFmtId="187" fontId="13" fillId="5" borderId="1" xfId="1" applyNumberFormat="1" applyFont="1" applyFill="1" applyBorder="1" applyAlignment="1" applyProtection="1">
      <alignment horizontal="right"/>
    </xf>
    <xf numFmtId="0" fontId="24" fillId="6" borderId="1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  <xf numFmtId="9" fontId="0" fillId="16" borderId="1" xfId="0" applyNumberFormat="1" applyFill="1" applyBorder="1" applyAlignment="1">
      <alignment horizontal="center" vertical="center" shrinkToFit="1"/>
    </xf>
    <xf numFmtId="186" fontId="0" fillId="3" borderId="1" xfId="0" applyNumberFormat="1" applyFill="1" applyBorder="1"/>
    <xf numFmtId="9" fontId="0" fillId="6" borderId="1" xfId="2" applyFont="1" applyFill="1" applyBorder="1" applyAlignment="1" applyProtection="1">
      <alignment horizontal="center"/>
    </xf>
    <xf numFmtId="182" fontId="0" fillId="2" borderId="1" xfId="0" applyNumberFormat="1" applyFill="1" applyBorder="1" applyProtection="1">
      <protection locked="0"/>
    </xf>
    <xf numFmtId="2" fontId="0" fillId="2" borderId="1" xfId="0" applyNumberFormat="1" applyFill="1" applyBorder="1"/>
    <xf numFmtId="182" fontId="0" fillId="2" borderId="1" xfId="0" applyNumberFormat="1" applyFill="1" applyBorder="1"/>
    <xf numFmtId="196" fontId="23" fillId="0" borderId="1" xfId="1" applyNumberFormat="1" applyFont="1" applyBorder="1" applyAlignment="1" applyProtection="1">
      <alignment horizontal="right" shrinkToFit="1"/>
    </xf>
    <xf numFmtId="196" fontId="0" fillId="2" borderId="1" xfId="0" applyNumberFormat="1" applyFill="1" applyBorder="1" applyAlignment="1" applyProtection="1">
      <alignment vertical="center" shrinkToFit="1"/>
      <protection locked="0"/>
    </xf>
    <xf numFmtId="2" fontId="13" fillId="5" borderId="1" xfId="0" applyNumberFormat="1" applyFont="1" applyFill="1" applyBorder="1" applyAlignment="1">
      <alignment horizontal="right"/>
    </xf>
    <xf numFmtId="186" fontId="0" fillId="12" borderId="1" xfId="0" applyNumberFormat="1" applyFill="1" applyBorder="1" applyAlignment="1" applyProtection="1">
      <alignment horizontal="right"/>
      <protection locked="0"/>
    </xf>
    <xf numFmtId="186" fontId="0" fillId="12" borderId="1" xfId="0" applyNumberFormat="1" applyFill="1" applyBorder="1" applyProtection="1">
      <protection locked="0"/>
    </xf>
    <xf numFmtId="187" fontId="23" fillId="0" borderId="1" xfId="0" applyNumberFormat="1" applyFont="1" applyBorder="1" applyProtection="1"/>
    <xf numFmtId="187" fontId="23" fillId="0" borderId="1" xfId="0" applyNumberFormat="1" applyFont="1" applyBorder="1" applyAlignment="1" applyProtection="1">
      <alignment horizontal="right" shrinkToFit="1"/>
    </xf>
    <xf numFmtId="184" fontId="23" fillId="0" borderId="1" xfId="0" applyNumberFormat="1" applyFont="1" applyBorder="1" applyAlignment="1" applyProtection="1">
      <alignment horizontal="right" shrinkToFit="1"/>
    </xf>
    <xf numFmtId="187" fontId="20" fillId="14" borderId="1" xfId="0" applyNumberFormat="1" applyFont="1" applyFill="1" applyBorder="1" applyAlignment="1" applyProtection="1">
      <alignment shrinkToFit="1"/>
    </xf>
    <xf numFmtId="184" fontId="0" fillId="0" borderId="1" xfId="0" applyNumberFormat="1" applyBorder="1" applyAlignment="1" applyProtection="1">
      <alignment shrinkToFit="1"/>
    </xf>
    <xf numFmtId="187" fontId="21" fillId="11" borderId="1" xfId="0" applyNumberFormat="1" applyFont="1" applyFill="1" applyBorder="1" applyAlignment="1" applyProtection="1">
      <alignment shrinkToFit="1"/>
    </xf>
    <xf numFmtId="0" fontId="7" fillId="0" borderId="0" xfId="0" applyFont="1" applyProtection="1"/>
    <xf numFmtId="0" fontId="0" fillId="0" borderId="0" xfId="0" applyProtection="1"/>
    <xf numFmtId="0" fontId="0" fillId="6" borderId="2" xfId="0" applyFill="1" applyBorder="1" applyProtection="1"/>
    <xf numFmtId="0" fontId="0" fillId="6" borderId="5" xfId="0" applyFill="1" applyBorder="1" applyProtection="1"/>
    <xf numFmtId="0" fontId="21" fillId="6" borderId="2" xfId="0" applyFont="1" applyFill="1" applyBorder="1" applyProtection="1"/>
    <xf numFmtId="0" fontId="24" fillId="6" borderId="3" xfId="0" applyFont="1" applyFill="1" applyBorder="1" applyProtection="1"/>
    <xf numFmtId="0" fontId="24" fillId="6" borderId="2" xfId="0" applyFont="1" applyFill="1" applyBorder="1" applyProtection="1"/>
    <xf numFmtId="0" fontId="24" fillId="6" borderId="5" xfId="0" applyFont="1" applyFill="1" applyBorder="1" applyProtection="1"/>
    <xf numFmtId="0" fontId="21" fillId="6" borderId="5" xfId="0" applyFont="1" applyFill="1" applyBorder="1" applyProtection="1"/>
    <xf numFmtId="0" fontId="0" fillId="6" borderId="3" xfId="0" applyFill="1" applyBorder="1" applyProtection="1"/>
    <xf numFmtId="0" fontId="0" fillId="6" borderId="10" xfId="0" applyFill="1" applyBorder="1" applyAlignment="1" applyProtection="1">
      <alignment horizontal="center" vertical="center"/>
    </xf>
    <xf numFmtId="0" fontId="0" fillId="6" borderId="10" xfId="0" applyFill="1" applyBorder="1" applyAlignment="1" applyProtection="1">
      <alignment horizontal="center" vertical="center" wrapText="1"/>
    </xf>
    <xf numFmtId="0" fontId="13" fillId="6" borderId="10" xfId="0" applyFont="1" applyFill="1" applyBorder="1" applyAlignment="1" applyProtection="1">
      <alignment horizontal="center" vertical="center" wrapText="1"/>
    </xf>
    <xf numFmtId="0" fontId="0" fillId="6" borderId="1" xfId="0" applyFill="1" applyBorder="1" applyAlignment="1" applyProtection="1">
      <alignment horizontal="center" vertical="center" wrapText="1"/>
    </xf>
    <xf numFmtId="0" fontId="0" fillId="6" borderId="1" xfId="0" applyFill="1" applyBorder="1" applyAlignment="1" applyProtection="1">
      <alignment vertical="center" wrapText="1"/>
    </xf>
    <xf numFmtId="0" fontId="11" fillId="6" borderId="1" xfId="0" applyFont="1" applyFill="1" applyBorder="1" applyAlignment="1" applyProtection="1">
      <alignment vertical="center" wrapText="1"/>
    </xf>
    <xf numFmtId="0" fontId="0" fillId="6" borderId="1" xfId="0" applyFill="1" applyBorder="1" applyProtection="1"/>
    <xf numFmtId="0" fontId="0" fillId="6" borderId="1" xfId="0" applyFill="1" applyBorder="1" applyAlignment="1" applyProtection="1">
      <alignment horizontal="center"/>
    </xf>
    <xf numFmtId="0" fontId="0" fillId="6" borderId="11" xfId="0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center" wrapText="1"/>
    </xf>
    <xf numFmtId="0" fontId="0" fillId="6" borderId="1" xfId="0" applyFill="1" applyBorder="1" applyAlignment="1" applyProtection="1">
      <alignment shrinkToFit="1"/>
    </xf>
    <xf numFmtId="0" fontId="0" fillId="0" borderId="1" xfId="0" applyBorder="1" applyAlignment="1" applyProtection="1">
      <alignment horizontal="center" shrinkToFit="1"/>
    </xf>
    <xf numFmtId="0" fontId="0" fillId="0" borderId="11" xfId="0" applyBorder="1" applyAlignment="1" applyProtection="1">
      <alignment horizontal="center" shrinkToFit="1"/>
    </xf>
    <xf numFmtId="0" fontId="0" fillId="0" borderId="11" xfId="0" applyBorder="1" applyAlignment="1" applyProtection="1">
      <alignment shrinkToFit="1"/>
    </xf>
    <xf numFmtId="185" fontId="23" fillId="0" borderId="1" xfId="0" applyNumberFormat="1" applyFont="1" applyBorder="1" applyAlignment="1" applyProtection="1">
      <alignment horizontal="right" shrinkToFit="1"/>
    </xf>
    <xf numFmtId="0" fontId="23" fillId="0" borderId="11" xfId="0" applyFont="1" applyBorder="1" applyAlignment="1" applyProtection="1">
      <alignment shrinkToFit="1"/>
    </xf>
    <xf numFmtId="178" fontId="23" fillId="0" borderId="1" xfId="0" applyNumberFormat="1" applyFont="1" applyBorder="1" applyAlignment="1" applyProtection="1">
      <alignment horizontal="right" shrinkToFit="1"/>
    </xf>
    <xf numFmtId="0" fontId="0" fillId="3" borderId="1" xfId="0" applyFill="1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2" borderId="1" xfId="0" applyFill="1" applyBorder="1" applyAlignment="1" applyProtection="1">
      <alignment shrinkToFit="1"/>
    </xf>
    <xf numFmtId="9" fontId="0" fillId="16" borderId="1" xfId="0" applyNumberFormat="1" applyFill="1" applyBorder="1" applyAlignment="1" applyProtection="1">
      <alignment horizontal="center" vertical="center" shrinkToFit="1"/>
    </xf>
    <xf numFmtId="178" fontId="0" fillId="2" borderId="1" xfId="0" applyNumberFormat="1" applyFill="1" applyBorder="1" applyAlignment="1" applyProtection="1">
      <alignment vertical="center" shrinkToFit="1"/>
    </xf>
    <xf numFmtId="196" fontId="0" fillId="2" borderId="1" xfId="0" applyNumberFormat="1" applyFill="1" applyBorder="1" applyAlignment="1" applyProtection="1">
      <alignment vertical="center" shrinkToFit="1"/>
    </xf>
    <xf numFmtId="178" fontId="0" fillId="7" borderId="1" xfId="0" applyNumberFormat="1" applyFill="1" applyBorder="1" applyAlignment="1" applyProtection="1">
      <alignment shrinkToFit="1"/>
    </xf>
    <xf numFmtId="187" fontId="0" fillId="0" borderId="1" xfId="0" applyNumberFormat="1" applyBorder="1" applyProtection="1"/>
    <xf numFmtId="0" fontId="23" fillId="0" borderId="11" xfId="0" applyFont="1" applyBorder="1" applyAlignment="1" applyProtection="1">
      <alignment horizontal="right" vertical="center"/>
    </xf>
    <xf numFmtId="185" fontId="0" fillId="0" borderId="1" xfId="0" applyNumberFormat="1" applyBorder="1" applyProtection="1"/>
    <xf numFmtId="9" fontId="0" fillId="0" borderId="1" xfId="0" applyNumberFormat="1" applyBorder="1" applyProtection="1"/>
    <xf numFmtId="0" fontId="0" fillId="0" borderId="1" xfId="0" applyBorder="1" applyAlignment="1" applyProtection="1">
      <alignment shrinkToFit="1"/>
    </xf>
    <xf numFmtId="197" fontId="0" fillId="0" borderId="1" xfId="0" applyNumberFormat="1" applyBorder="1" applyAlignment="1" applyProtection="1">
      <alignment shrinkToFit="1"/>
    </xf>
    <xf numFmtId="186" fontId="0" fillId="0" borderId="1" xfId="0" applyNumberFormat="1" applyBorder="1" applyAlignment="1" applyProtection="1">
      <alignment shrinkToFit="1"/>
    </xf>
    <xf numFmtId="178" fontId="0" fillId="0" borderId="1" xfId="0" applyNumberFormat="1" applyBorder="1" applyAlignment="1" applyProtection="1">
      <alignment shrinkToFit="1"/>
    </xf>
    <xf numFmtId="0" fontId="0" fillId="12" borderId="1" xfId="2" applyNumberFormat="1" applyFont="1" applyFill="1" applyBorder="1" applyAlignment="1" applyProtection="1"/>
    <xf numFmtId="191" fontId="0" fillId="0" borderId="1" xfId="0" applyNumberFormat="1" applyBorder="1" applyProtection="1"/>
    <xf numFmtId="0" fontId="0" fillId="8" borderId="1" xfId="0" applyFill="1" applyBorder="1" applyProtection="1"/>
    <xf numFmtId="0" fontId="0" fillId="10" borderId="1" xfId="0" applyFill="1" applyBorder="1" applyProtection="1"/>
    <xf numFmtId="0" fontId="0" fillId="6" borderId="2" xfId="0" applyFill="1" applyBorder="1" applyAlignment="1" applyProtection="1">
      <alignment vertical="center"/>
    </xf>
    <xf numFmtId="0" fontId="0" fillId="6" borderId="5" xfId="0" applyFill="1" applyBorder="1" applyAlignment="1" applyProtection="1">
      <alignment vertical="center"/>
    </xf>
    <xf numFmtId="0" fontId="0" fillId="6" borderId="6" xfId="0" applyFill="1" applyBorder="1" applyProtection="1"/>
    <xf numFmtId="0" fontId="0" fillId="6" borderId="4" xfId="0" applyFill="1" applyBorder="1" applyAlignment="1" applyProtection="1">
      <alignment horizontal="left" vertical="top"/>
    </xf>
    <xf numFmtId="0" fontId="0" fillId="6" borderId="6" xfId="0" applyFill="1" applyBorder="1" applyAlignment="1" applyProtection="1">
      <alignment horizontal="left" vertical="top"/>
    </xf>
    <xf numFmtId="0" fontId="0" fillId="6" borderId="24" xfId="0" applyFill="1" applyBorder="1" applyAlignment="1" applyProtection="1">
      <alignment horizontal="left" vertical="top"/>
    </xf>
    <xf numFmtId="0" fontId="24" fillId="6" borderId="4" xfId="0" applyFont="1" applyFill="1" applyBorder="1" applyProtection="1"/>
    <xf numFmtId="0" fontId="24" fillId="6" borderId="24" xfId="0" applyFont="1" applyFill="1" applyBorder="1" applyProtection="1"/>
    <xf numFmtId="0" fontId="24" fillId="6" borderId="6" xfId="0" applyFont="1" applyFill="1" applyBorder="1" applyProtection="1"/>
    <xf numFmtId="0" fontId="24" fillId="8" borderId="2" xfId="0" applyFont="1" applyFill="1" applyBorder="1" applyProtection="1"/>
    <xf numFmtId="0" fontId="24" fillId="8" borderId="0" xfId="0" applyFont="1" applyFill="1" applyProtection="1"/>
    <xf numFmtId="0" fontId="24" fillId="8" borderId="5" xfId="0" applyFont="1" applyFill="1" applyBorder="1" applyProtection="1"/>
    <xf numFmtId="0" fontId="24" fillId="10" borderId="2" xfId="0" applyFont="1" applyFill="1" applyBorder="1" applyProtection="1"/>
    <xf numFmtId="0" fontId="24" fillId="10" borderId="0" xfId="0" applyFont="1" applyFill="1" applyProtection="1"/>
    <xf numFmtId="0" fontId="24" fillId="10" borderId="5" xfId="0" applyFont="1" applyFill="1" applyBorder="1" applyProtection="1"/>
    <xf numFmtId="0" fontId="0" fillId="6" borderId="7" xfId="0" applyFill="1" applyBorder="1" applyAlignment="1" applyProtection="1">
      <alignment horizontal="left" vertical="top"/>
    </xf>
    <xf numFmtId="0" fontId="0" fillId="6" borderId="8" xfId="0" applyFill="1" applyBorder="1" applyAlignment="1" applyProtection="1">
      <alignment horizontal="left" vertical="top"/>
    </xf>
    <xf numFmtId="0" fontId="0" fillId="6" borderId="9" xfId="0" applyFill="1" applyBorder="1" applyAlignment="1" applyProtection="1">
      <alignment horizontal="left" vertical="top"/>
    </xf>
    <xf numFmtId="0" fontId="24" fillId="6" borderId="7" xfId="0" applyFont="1" applyFill="1" applyBorder="1" applyProtection="1"/>
    <xf numFmtId="0" fontId="24" fillId="6" borderId="9" xfId="0" applyFont="1" applyFill="1" applyBorder="1" applyProtection="1"/>
    <xf numFmtId="0" fontId="24" fillId="6" borderId="8" xfId="0" applyFont="1" applyFill="1" applyBorder="1" applyProtection="1"/>
    <xf numFmtId="0" fontId="24" fillId="6" borderId="1" xfId="0" applyFont="1" applyFill="1" applyBorder="1" applyAlignment="1" applyProtection="1">
      <alignment horizontal="left" vertical="center" wrapText="1"/>
    </xf>
    <xf numFmtId="0" fontId="24" fillId="8" borderId="1" xfId="0" applyFont="1" applyFill="1" applyBorder="1" applyAlignment="1" applyProtection="1">
      <alignment horizontal="left" vertical="center" wrapText="1"/>
    </xf>
    <xf numFmtId="0" fontId="24" fillId="10" borderId="1" xfId="0" applyFont="1" applyFill="1" applyBorder="1" applyAlignment="1" applyProtection="1">
      <alignment horizontal="left" vertical="center" wrapText="1"/>
    </xf>
    <xf numFmtId="0" fontId="0" fillId="6" borderId="1" xfId="0" applyFill="1" applyBorder="1" applyAlignment="1" applyProtection="1">
      <alignment horizontal="left" vertical="center" wrapText="1"/>
    </xf>
    <xf numFmtId="0" fontId="12" fillId="6" borderId="1" xfId="0" applyFont="1" applyFill="1" applyBorder="1" applyAlignment="1" applyProtection="1">
      <alignment horizontal="left" vertical="center" wrapText="1"/>
    </xf>
    <xf numFmtId="0" fontId="0" fillId="6" borderId="1" xfId="0" applyFill="1" applyBorder="1" applyAlignment="1" applyProtection="1">
      <alignment horizontal="left"/>
    </xf>
    <xf numFmtId="0" fontId="0" fillId="6" borderId="11" xfId="0" applyFill="1" applyBorder="1" applyProtection="1"/>
    <xf numFmtId="0" fontId="0" fillId="8" borderId="1" xfId="0" applyFill="1" applyBorder="1" applyAlignment="1" applyProtection="1">
      <alignment horizontal="center"/>
    </xf>
    <xf numFmtId="0" fontId="0" fillId="10" borderId="1" xfId="0" applyFill="1" applyBorder="1" applyAlignment="1" applyProtection="1">
      <alignment horizontal="center"/>
    </xf>
    <xf numFmtId="0" fontId="0" fillId="6" borderId="1" xfId="0" applyFill="1" applyBorder="1" applyAlignment="1" applyProtection="1">
      <alignment horizontal="right"/>
    </xf>
    <xf numFmtId="0" fontId="0" fillId="6" borderId="1" xfId="0" applyFill="1" applyBorder="1" applyAlignment="1" applyProtection="1">
      <alignment horizontal="left" vertical="center"/>
    </xf>
    <xf numFmtId="0" fontId="0" fillId="0" borderId="11" xfId="0" applyBorder="1" applyAlignment="1" applyProtection="1">
      <alignment horizontal="right" vertical="center"/>
    </xf>
    <xf numFmtId="0" fontId="23" fillId="0" borderId="1" xfId="0" applyFont="1" applyBorder="1" applyAlignment="1" applyProtection="1">
      <alignment horizontal="right" vertical="center"/>
    </xf>
    <xf numFmtId="188" fontId="23" fillId="0" borderId="1" xfId="0" applyNumberFormat="1" applyFont="1" applyBorder="1" applyAlignment="1" applyProtection="1">
      <alignment horizontal="right" vertical="center"/>
    </xf>
    <xf numFmtId="196" fontId="23" fillId="0" borderId="1" xfId="0" applyNumberFormat="1" applyFont="1" applyBorder="1" applyAlignment="1" applyProtection="1">
      <alignment horizontal="right" vertical="center"/>
    </xf>
    <xf numFmtId="187" fontId="23" fillId="0" borderId="11" xfId="0" applyNumberFormat="1" applyFont="1" applyBorder="1" applyAlignment="1" applyProtection="1">
      <alignment horizontal="right" vertical="center"/>
    </xf>
    <xf numFmtId="192" fontId="23" fillId="0" borderId="1" xfId="0" applyNumberFormat="1" applyFont="1" applyBorder="1" applyAlignment="1" applyProtection="1">
      <alignment horizontal="right" vertical="center"/>
    </xf>
    <xf numFmtId="1" fontId="23" fillId="0" borderId="1" xfId="0" applyNumberFormat="1" applyFont="1" applyBorder="1" applyAlignment="1" applyProtection="1">
      <alignment horizontal="right" vertical="center"/>
    </xf>
    <xf numFmtId="184" fontId="23" fillId="0" borderId="1" xfId="0" applyNumberFormat="1" applyFont="1" applyBorder="1" applyAlignment="1" applyProtection="1">
      <alignment horizontal="right" vertical="center"/>
    </xf>
    <xf numFmtId="190" fontId="23" fillId="0" borderId="1" xfId="0" applyNumberFormat="1" applyFont="1" applyBorder="1" applyAlignment="1" applyProtection="1">
      <alignment horizontal="right" vertical="center"/>
    </xf>
    <xf numFmtId="198" fontId="23" fillId="0" borderId="1" xfId="0" applyNumberFormat="1" applyFont="1" applyBorder="1" applyAlignment="1" applyProtection="1">
      <alignment horizontal="right" vertical="center"/>
    </xf>
    <xf numFmtId="194" fontId="23" fillId="0" borderId="1" xfId="0" applyNumberFormat="1" applyFont="1" applyBorder="1" applyAlignment="1" applyProtection="1">
      <alignment horizontal="right"/>
    </xf>
    <xf numFmtId="193" fontId="23" fillId="0" borderId="1" xfId="0" applyNumberFormat="1" applyFont="1" applyBorder="1" applyAlignment="1" applyProtection="1">
      <alignment horizontal="right" vertical="center"/>
    </xf>
    <xf numFmtId="193" fontId="23" fillId="0" borderId="1" xfId="0" applyNumberFormat="1" applyFont="1" applyBorder="1" applyAlignment="1" applyProtection="1">
      <alignment horizontal="right"/>
    </xf>
    <xf numFmtId="0" fontId="0" fillId="2" borderId="1" xfId="0" applyFill="1" applyBorder="1" applyAlignment="1" applyProtection="1">
      <alignment wrapText="1"/>
    </xf>
    <xf numFmtId="0" fontId="0" fillId="2" borderId="1" xfId="0" applyFill="1" applyBorder="1" applyProtection="1"/>
    <xf numFmtId="0" fontId="0" fillId="3" borderId="1" xfId="0" applyFill="1" applyBorder="1" applyAlignment="1" applyProtection="1">
      <alignment wrapText="1"/>
    </xf>
    <xf numFmtId="0" fontId="0" fillId="3" borderId="1" xfId="0" applyFill="1" applyBorder="1" applyAlignment="1" applyProtection="1">
      <alignment shrinkToFit="1"/>
    </xf>
    <xf numFmtId="188" fontId="0" fillId="2" borderId="1" xfId="0" applyNumberFormat="1" applyFill="1" applyBorder="1" applyProtection="1"/>
    <xf numFmtId="196" fontId="0" fillId="2" borderId="1" xfId="0" applyNumberFormat="1" applyFill="1" applyBorder="1" applyProtection="1"/>
    <xf numFmtId="187" fontId="0" fillId="2" borderId="1" xfId="0" applyNumberFormat="1" applyFill="1" applyBorder="1" applyProtection="1"/>
    <xf numFmtId="192" fontId="0" fillId="2" borderId="1" xfId="0" applyNumberFormat="1" applyFill="1" applyBorder="1" applyProtection="1"/>
    <xf numFmtId="199" fontId="0" fillId="0" borderId="1" xfId="0" applyNumberFormat="1" applyBorder="1" applyProtection="1"/>
    <xf numFmtId="190" fontId="0" fillId="2" borderId="1" xfId="0" applyNumberFormat="1" applyFill="1" applyBorder="1" applyProtection="1"/>
    <xf numFmtId="198" fontId="0" fillId="0" borderId="1" xfId="0" applyNumberFormat="1" applyBorder="1" applyProtection="1"/>
    <xf numFmtId="184" fontId="0" fillId="0" borderId="1" xfId="0" applyNumberFormat="1" applyBorder="1" applyProtection="1"/>
    <xf numFmtId="194" fontId="0" fillId="0" borderId="1" xfId="0" applyNumberFormat="1" applyBorder="1" applyProtection="1"/>
    <xf numFmtId="188" fontId="0" fillId="7" borderId="1" xfId="0" applyNumberFormat="1" applyFill="1" applyBorder="1" applyProtection="1"/>
    <xf numFmtId="193" fontId="0" fillId="0" borderId="1" xfId="0" applyNumberFormat="1" applyBorder="1" applyProtection="1"/>
    <xf numFmtId="0" fontId="0" fillId="11" borderId="33" xfId="0" applyFill="1" applyBorder="1" applyProtection="1"/>
    <xf numFmtId="0" fontId="0" fillId="11" borderId="34" xfId="0" applyFill="1" applyBorder="1" applyProtection="1"/>
    <xf numFmtId="0" fontId="0" fillId="11" borderId="35" xfId="0" applyFill="1" applyBorder="1" applyProtection="1"/>
    <xf numFmtId="0" fontId="0" fillId="11" borderId="15" xfId="0" applyFill="1" applyBorder="1" applyProtection="1"/>
    <xf numFmtId="0" fontId="0" fillId="11" borderId="5" xfId="0" applyFill="1" applyBorder="1" applyProtection="1"/>
    <xf numFmtId="0" fontId="0" fillId="11" borderId="3" xfId="0" applyFill="1" applyBorder="1" applyProtection="1"/>
    <xf numFmtId="0" fontId="0" fillId="11" borderId="14" xfId="0" applyFill="1" applyBorder="1" applyProtection="1"/>
    <xf numFmtId="0" fontId="0" fillId="11" borderId="31" xfId="0" applyFill="1" applyBorder="1" applyProtection="1"/>
    <xf numFmtId="0" fontId="0" fillId="11" borderId="6" xfId="0" applyFill="1" applyBorder="1" applyProtection="1"/>
    <xf numFmtId="0" fontId="0" fillId="11" borderId="28" xfId="0" applyFill="1" applyBorder="1" applyProtection="1"/>
    <xf numFmtId="0" fontId="0" fillId="11" borderId="1" xfId="0" applyFill="1" applyBorder="1" applyAlignment="1" applyProtection="1">
      <alignment horizontal="center"/>
    </xf>
    <xf numFmtId="186" fontId="0" fillId="11" borderId="2" xfId="0" applyNumberFormat="1" applyFill="1" applyBorder="1" applyAlignment="1" applyProtection="1">
      <alignment horizontal="left"/>
    </xf>
    <xf numFmtId="0" fontId="0" fillId="0" borderId="0" xfId="0" applyAlignment="1" applyProtection="1">
      <alignment horizontal="center"/>
    </xf>
    <xf numFmtId="186" fontId="0" fillId="0" borderId="0" xfId="0" applyNumberFormat="1" applyAlignment="1" applyProtection="1">
      <alignment horizontal="left"/>
    </xf>
    <xf numFmtId="191" fontId="0" fillId="11" borderId="2" xfId="0" applyNumberFormat="1" applyFill="1" applyBorder="1" applyAlignment="1" applyProtection="1">
      <alignment horizontal="left"/>
    </xf>
    <xf numFmtId="191" fontId="0" fillId="0" borderId="0" xfId="0" applyNumberFormat="1" applyAlignment="1" applyProtection="1">
      <alignment horizontal="left"/>
    </xf>
    <xf numFmtId="0" fontId="0" fillId="11" borderId="26" xfId="0" applyFill="1" applyBorder="1" applyProtection="1"/>
    <xf numFmtId="0" fontId="0" fillId="11" borderId="27" xfId="0" applyFill="1" applyBorder="1" applyProtection="1"/>
    <xf numFmtId="0" fontId="0" fillId="11" borderId="13" xfId="0" applyFill="1" applyBorder="1" applyAlignment="1" applyProtection="1">
      <alignment horizontal="center"/>
    </xf>
    <xf numFmtId="191" fontId="0" fillId="11" borderId="20" xfId="0" applyNumberFormat="1" applyFill="1" applyBorder="1" applyAlignment="1" applyProtection="1">
      <alignment horizontal="left"/>
    </xf>
    <xf numFmtId="0" fontId="0" fillId="11" borderId="22" xfId="0" applyFill="1" applyBorder="1" applyProtection="1"/>
    <xf numFmtId="0" fontId="0" fillId="6" borderId="1" xfId="0" applyFill="1" applyBorder="1" applyAlignment="1" applyProtection="1">
      <alignment horizontal="centerContinuous"/>
    </xf>
    <xf numFmtId="0" fontId="0" fillId="0" borderId="0" xfId="0" applyAlignment="1" applyProtection="1">
      <alignment vertical="center"/>
    </xf>
    <xf numFmtId="0" fontId="11" fillId="6" borderId="1" xfId="0" applyFont="1" applyFill="1" applyBorder="1" applyAlignment="1" applyProtection="1">
      <alignment horizontal="center" vertical="center" wrapText="1"/>
    </xf>
    <xf numFmtId="0" fontId="12" fillId="6" borderId="1" xfId="0" applyFont="1" applyFill="1" applyBorder="1" applyAlignment="1" applyProtection="1">
      <alignment horizontal="center" vertical="center" wrapText="1"/>
    </xf>
    <xf numFmtId="0" fontId="0" fillId="6" borderId="1" xfId="0" applyFill="1" applyBorder="1" applyAlignment="1" applyProtection="1">
      <alignment horizontal="center" vertical="center"/>
    </xf>
    <xf numFmtId="0" fontId="0" fillId="6" borderId="11" xfId="0" applyFill="1" applyBorder="1" applyAlignment="1" applyProtection="1">
      <alignment horizontal="center" wrapText="1"/>
    </xf>
    <xf numFmtId="0" fontId="23" fillId="0" borderId="11" xfId="0" applyFont="1" applyBorder="1" applyProtection="1"/>
    <xf numFmtId="0" fontId="23" fillId="0" borderId="1" xfId="0" applyFont="1" applyBorder="1" applyAlignment="1" applyProtection="1">
      <alignment horizontal="right"/>
    </xf>
    <xf numFmtId="0" fontId="23" fillId="0" borderId="11" xfId="0" applyFont="1" applyBorder="1" applyAlignment="1" applyProtection="1">
      <alignment horizontal="center"/>
    </xf>
    <xf numFmtId="0" fontId="23" fillId="0" borderId="1" xfId="0" applyFont="1" applyBorder="1" applyProtection="1"/>
    <xf numFmtId="0" fontId="23" fillId="0" borderId="11" xfId="0" applyFont="1" applyBorder="1" applyAlignment="1" applyProtection="1">
      <alignment horizontal="right"/>
    </xf>
    <xf numFmtId="187" fontId="23" fillId="0" borderId="1" xfId="0" applyNumberFormat="1" applyFont="1" applyBorder="1" applyAlignment="1" applyProtection="1">
      <alignment horizontal="right"/>
    </xf>
    <xf numFmtId="199" fontId="23" fillId="0" borderId="1" xfId="0" applyNumberFormat="1" applyFont="1" applyBorder="1" applyAlignment="1" applyProtection="1">
      <alignment horizontal="right"/>
    </xf>
    <xf numFmtId="198" fontId="23" fillId="0" borderId="1" xfId="0" applyNumberFormat="1" applyFont="1" applyBorder="1" applyAlignment="1" applyProtection="1">
      <alignment horizontal="right"/>
    </xf>
    <xf numFmtId="189" fontId="23" fillId="0" borderId="1" xfId="0" applyNumberFormat="1" applyFont="1" applyBorder="1" applyAlignment="1" applyProtection="1">
      <alignment horizontal="right"/>
    </xf>
    <xf numFmtId="0" fontId="0" fillId="6" borderId="1" xfId="0" applyFill="1" applyBorder="1" applyAlignment="1" applyProtection="1">
      <alignment vertical="center"/>
    </xf>
    <xf numFmtId="0" fontId="0" fillId="2" borderId="1" xfId="0" applyFill="1" applyBorder="1" applyAlignment="1" applyProtection="1">
      <alignment vertical="center" wrapText="1"/>
    </xf>
    <xf numFmtId="0" fontId="0" fillId="3" borderId="1" xfId="0" applyFill="1" applyBorder="1" applyAlignment="1" applyProtection="1">
      <alignment horizontal="center" vertical="center" wrapText="1"/>
    </xf>
    <xf numFmtId="0" fontId="0" fillId="2" borderId="1" xfId="0" applyFill="1" applyBorder="1" applyAlignment="1" applyProtection="1">
      <alignment vertical="center"/>
    </xf>
    <xf numFmtId="0" fontId="21" fillId="2" borderId="1" xfId="0" applyFont="1" applyFill="1" applyBorder="1" applyAlignment="1" applyProtection="1">
      <alignment vertical="center"/>
    </xf>
    <xf numFmtId="198" fontId="0" fillId="0" borderId="3" xfId="0" applyNumberFormat="1" applyBorder="1" applyAlignment="1" applyProtection="1">
      <alignment vertical="center"/>
    </xf>
    <xf numFmtId="187" fontId="0" fillId="0" borderId="1" xfId="0" applyNumberFormat="1" applyBorder="1" applyAlignment="1" applyProtection="1">
      <alignment vertical="center"/>
    </xf>
    <xf numFmtId="199" fontId="0" fillId="0" borderId="1" xfId="0" applyNumberFormat="1" applyBorder="1" applyAlignment="1" applyProtection="1">
      <alignment vertical="center"/>
    </xf>
    <xf numFmtId="198" fontId="0" fillId="0" borderId="1" xfId="0" applyNumberFormat="1" applyBorder="1" applyAlignment="1" applyProtection="1">
      <alignment vertical="center"/>
    </xf>
    <xf numFmtId="189" fontId="0" fillId="0" borderId="1" xfId="0" applyNumberFormat="1" applyBorder="1" applyAlignment="1" applyProtection="1">
      <alignment vertical="center"/>
    </xf>
    <xf numFmtId="193" fontId="0" fillId="7" borderId="1" xfId="0" applyNumberFormat="1" applyFill="1" applyBorder="1" applyAlignment="1" applyProtection="1">
      <alignment vertical="center"/>
    </xf>
    <xf numFmtId="193" fontId="0" fillId="0" borderId="1" xfId="0" applyNumberFormat="1" applyBorder="1" applyAlignment="1" applyProtection="1">
      <alignment vertical="center"/>
    </xf>
    <xf numFmtId="0" fontId="24" fillId="2" borderId="1" xfId="0" applyFont="1" applyFill="1" applyBorder="1" applyAlignment="1" applyProtection="1">
      <alignment vertical="center"/>
    </xf>
    <xf numFmtId="176" fontId="0" fillId="2" borderId="1" xfId="0" applyNumberFormat="1" applyFill="1" applyBorder="1" applyAlignment="1" applyProtection="1">
      <alignment shrinkToFit="1"/>
    </xf>
    <xf numFmtId="187" fontId="0" fillId="12" borderId="1" xfId="0" applyNumberFormat="1" applyFill="1" applyBorder="1" applyAlignment="1" applyProtection="1">
      <alignment horizontal="right" vertical="center" shrinkToFit="1"/>
    </xf>
    <xf numFmtId="187" fontId="0" fillId="2" borderId="1" xfId="0" applyNumberFormat="1" applyFill="1" applyBorder="1" applyAlignment="1" applyProtection="1">
      <alignment shrinkToFit="1"/>
    </xf>
    <xf numFmtId="187" fontId="0" fillId="2" borderId="1" xfId="0" applyNumberFormat="1" applyFill="1" applyBorder="1" applyAlignment="1" applyProtection="1">
      <alignment vertical="center" shrinkToFit="1"/>
    </xf>
    <xf numFmtId="187" fontId="0" fillId="12" borderId="1" xfId="0" applyNumberFormat="1" applyFill="1" applyBorder="1" applyAlignment="1" applyProtection="1">
      <alignment horizontal="right" vertical="center" shrinkToFit="1"/>
      <protection locked="0"/>
    </xf>
    <xf numFmtId="176" fontId="23" fillId="0" borderId="1" xfId="0" applyNumberFormat="1" applyFont="1" applyBorder="1" applyAlignment="1" applyProtection="1">
      <alignment horizontal="right" shrinkToFit="1"/>
    </xf>
    <xf numFmtId="199" fontId="23" fillId="0" borderId="1" xfId="0" applyNumberFormat="1" applyFont="1" applyBorder="1" applyAlignment="1" applyProtection="1">
      <alignment horizontal="right" shrinkToFit="1"/>
    </xf>
    <xf numFmtId="199" fontId="0" fillId="0" borderId="1" xfId="0" applyNumberFormat="1" applyBorder="1" applyAlignment="1" applyProtection="1">
      <alignment shrinkToFit="1"/>
    </xf>
    <xf numFmtId="0" fontId="0" fillId="6" borderId="1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/>
    </xf>
    <xf numFmtId="0" fontId="23" fillId="6" borderId="1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top" wrapText="1"/>
      <protection locked="0"/>
    </xf>
    <xf numFmtId="0" fontId="23" fillId="6" borderId="1" xfId="0" applyFont="1" applyFill="1" applyBorder="1" applyAlignment="1">
      <alignment horizontal="center" vertical="top"/>
    </xf>
    <xf numFmtId="0" fontId="23" fillId="0" borderId="1" xfId="0" applyFont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 vertical="center" shrinkToFit="1"/>
    </xf>
    <xf numFmtId="0" fontId="0" fillId="6" borderId="3" xfId="0" applyFill="1" applyBorder="1" applyAlignment="1">
      <alignment horizontal="center" vertical="center" shrinkToFit="1"/>
    </xf>
    <xf numFmtId="0" fontId="0" fillId="6" borderId="1" xfId="0" applyFill="1" applyBorder="1" applyAlignment="1">
      <alignment horizontal="center" vertical="center"/>
    </xf>
    <xf numFmtId="9" fontId="0" fillId="6" borderId="1" xfId="2" applyFont="1" applyFill="1" applyBorder="1" applyAlignment="1" applyProtection="1">
      <alignment horizontal="center"/>
    </xf>
    <xf numFmtId="9" fontId="0" fillId="0" borderId="1" xfId="2" applyFont="1" applyBorder="1" applyAlignment="1" applyProtection="1">
      <alignment horizontal="center"/>
    </xf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shrinkToFit="1"/>
    </xf>
    <xf numFmtId="0" fontId="23" fillId="6" borderId="2" xfId="0" applyFont="1" applyFill="1" applyBorder="1" applyAlignment="1">
      <alignment horizontal="center" vertical="top"/>
    </xf>
    <xf numFmtId="0" fontId="23" fillId="6" borderId="5" xfId="0" applyFont="1" applyFill="1" applyBorder="1" applyAlignment="1">
      <alignment horizontal="center" vertical="top"/>
    </xf>
    <xf numFmtId="0" fontId="23" fillId="6" borderId="3" xfId="0" applyFont="1" applyFill="1" applyBorder="1" applyAlignment="1">
      <alignment horizontal="center" vertical="top"/>
    </xf>
    <xf numFmtId="0" fontId="0" fillId="2" borderId="2" xfId="0" applyFill="1" applyBorder="1" applyAlignment="1" applyProtection="1">
      <alignment horizontal="center" vertical="top"/>
      <protection locked="0"/>
    </xf>
    <xf numFmtId="0" fontId="0" fillId="2" borderId="5" xfId="0" applyFill="1" applyBorder="1" applyAlignment="1" applyProtection="1">
      <alignment horizontal="center" vertical="top"/>
      <protection locked="0"/>
    </xf>
    <xf numFmtId="0" fontId="0" fillId="2" borderId="3" xfId="0" applyFill="1" applyBorder="1" applyAlignment="1" applyProtection="1">
      <alignment horizontal="center" vertical="top"/>
      <protection locked="0"/>
    </xf>
    <xf numFmtId="0" fontId="23" fillId="6" borderId="2" xfId="0" applyFont="1" applyFill="1" applyBorder="1" applyAlignment="1">
      <alignment horizontal="center"/>
    </xf>
    <xf numFmtId="0" fontId="23" fillId="6" borderId="5" xfId="0" applyFont="1" applyFill="1" applyBorder="1" applyAlignment="1">
      <alignment horizontal="center"/>
    </xf>
    <xf numFmtId="0" fontId="23" fillId="6" borderId="3" xfId="0" applyFont="1" applyFill="1" applyBorder="1" applyAlignment="1">
      <alignment horizontal="center"/>
    </xf>
    <xf numFmtId="0" fontId="23" fillId="0" borderId="4" xfId="0" applyFont="1" applyBorder="1" applyAlignment="1">
      <alignment horizontal="center"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8" xfId="0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0" fillId="6" borderId="1" xfId="0" applyFill="1" applyBorder="1" applyAlignment="1" applyProtection="1">
      <alignment horizontal="center"/>
    </xf>
    <xf numFmtId="0" fontId="0" fillId="6" borderId="19" xfId="0" applyFill="1" applyBorder="1" applyAlignment="1" applyProtection="1">
      <alignment horizontal="center" vertical="center" wrapText="1"/>
    </xf>
    <xf numFmtId="0" fontId="0" fillId="6" borderId="23" xfId="0" applyFill="1" applyBorder="1" applyAlignment="1" applyProtection="1">
      <alignment horizontal="center" vertical="center" wrapText="1"/>
    </xf>
    <xf numFmtId="0" fontId="0" fillId="6" borderId="10" xfId="0" applyFill="1" applyBorder="1" applyAlignment="1" applyProtection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6" borderId="23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2" xfId="0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2" xfId="0" applyFill="1" applyBorder="1" applyAlignment="1">
      <alignment horizontal="center" vertical="top" wrapText="1"/>
    </xf>
    <xf numFmtId="0" fontId="0" fillId="6" borderId="3" xfId="0" applyFill="1" applyBorder="1" applyAlignment="1">
      <alignment horizontal="center" vertical="top" wrapText="1"/>
    </xf>
    <xf numFmtId="0" fontId="0" fillId="2" borderId="1" xfId="0" applyFill="1" applyBorder="1" applyAlignment="1" applyProtection="1">
      <alignment horizontal="center" vertical="top"/>
      <protection locked="0"/>
    </xf>
    <xf numFmtId="0" fontId="23" fillId="6" borderId="1" xfId="0" applyFont="1" applyFill="1" applyBorder="1" applyAlignment="1">
      <alignment horizontal="center"/>
    </xf>
    <xf numFmtId="0" fontId="23" fillId="0" borderId="25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36" xfId="0" applyFont="1" applyBorder="1" applyAlignment="1">
      <alignment horizontal="center" vertical="center" wrapText="1"/>
    </xf>
    <xf numFmtId="0" fontId="0" fillId="2" borderId="2" xfId="0" applyFill="1" applyBorder="1" applyAlignment="1" applyProtection="1">
      <alignment horizontal="center" shrinkToFit="1"/>
      <protection locked="0"/>
    </xf>
    <xf numFmtId="0" fontId="0" fillId="2" borderId="5" xfId="0" applyFill="1" applyBorder="1" applyAlignment="1" applyProtection="1">
      <alignment horizontal="center" shrinkToFit="1"/>
      <protection locked="0"/>
    </xf>
    <xf numFmtId="0" fontId="0" fillId="2" borderId="3" xfId="0" applyFill="1" applyBorder="1" applyAlignment="1" applyProtection="1">
      <alignment horizontal="center" shrinkToFit="1"/>
      <protection locked="0"/>
    </xf>
    <xf numFmtId="0" fontId="23" fillId="0" borderId="1" xfId="0" applyFont="1" applyBorder="1" applyAlignment="1">
      <alignment horizontal="center"/>
    </xf>
    <xf numFmtId="0" fontId="0" fillId="6" borderId="19" xfId="0" applyFill="1" applyBorder="1" applyAlignment="1" applyProtection="1">
      <alignment horizontal="center" vertical="center"/>
    </xf>
    <xf numFmtId="0" fontId="0" fillId="6" borderId="10" xfId="0" applyFill="1" applyBorder="1" applyAlignment="1" applyProtection="1">
      <alignment horizontal="center" vertical="center"/>
    </xf>
    <xf numFmtId="0" fontId="23" fillId="6" borderId="2" xfId="0" applyFont="1" applyFill="1" applyBorder="1" applyAlignment="1">
      <alignment vertical="top"/>
    </xf>
    <xf numFmtId="0" fontId="23" fillId="6" borderId="5" xfId="0" applyFont="1" applyFill="1" applyBorder="1" applyAlignment="1">
      <alignment vertical="top"/>
    </xf>
    <xf numFmtId="0" fontId="23" fillId="6" borderId="3" xfId="0" applyFont="1" applyFill="1" applyBorder="1" applyAlignment="1">
      <alignment vertical="top"/>
    </xf>
    <xf numFmtId="0" fontId="0" fillId="2" borderId="2" xfId="0" applyFill="1" applyBorder="1" applyAlignment="1" applyProtection="1">
      <alignment vertical="top"/>
      <protection locked="0"/>
    </xf>
    <xf numFmtId="0" fontId="0" fillId="2" borderId="5" xfId="0" applyFill="1" applyBorder="1" applyAlignment="1" applyProtection="1">
      <alignment vertical="top"/>
      <protection locked="0"/>
    </xf>
    <xf numFmtId="0" fontId="0" fillId="2" borderId="3" xfId="0" applyFill="1" applyBorder="1" applyAlignment="1" applyProtection="1">
      <alignment vertical="top"/>
      <protection locked="0"/>
    </xf>
    <xf numFmtId="0" fontId="23" fillId="6" borderId="2" xfId="0" applyFont="1" applyFill="1" applyBorder="1"/>
    <xf numFmtId="0" fontId="23" fillId="6" borderId="5" xfId="0" applyFont="1" applyFill="1" applyBorder="1"/>
    <xf numFmtId="0" fontId="23" fillId="6" borderId="3" xfId="0" applyFont="1" applyFill="1" applyBorder="1"/>
    <xf numFmtId="0" fontId="0" fillId="6" borderId="19" xfId="0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3" fillId="15" borderId="4" xfId="0" applyFont="1" applyFill="1" applyBorder="1" applyAlignment="1">
      <alignment horizontal="center" vertical="center" wrapText="1"/>
    </xf>
    <xf numFmtId="0" fontId="23" fillId="15" borderId="6" xfId="0" applyFont="1" applyFill="1" applyBorder="1" applyAlignment="1">
      <alignment horizontal="center" vertical="center" wrapText="1"/>
    </xf>
    <xf numFmtId="0" fontId="23" fillId="15" borderId="24" xfId="0" applyFont="1" applyFill="1" applyBorder="1" applyAlignment="1">
      <alignment horizontal="center" vertical="center" wrapText="1"/>
    </xf>
    <xf numFmtId="0" fontId="23" fillId="15" borderId="7" xfId="0" applyFont="1" applyFill="1" applyBorder="1" applyAlignment="1">
      <alignment horizontal="center" vertical="center" wrapText="1"/>
    </xf>
    <xf numFmtId="0" fontId="23" fillId="15" borderId="8" xfId="0" applyFont="1" applyFill="1" applyBorder="1" applyAlignment="1">
      <alignment horizontal="center" vertical="center" wrapText="1"/>
    </xf>
    <xf numFmtId="0" fontId="23" fillId="15" borderId="9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/>
    <xf numFmtId="0" fontId="23" fillId="6" borderId="1" xfId="0" applyFont="1" applyFill="1" applyBorder="1" applyAlignment="1">
      <alignment horizontal="left" vertical="top"/>
    </xf>
    <xf numFmtId="0" fontId="0" fillId="6" borderId="2" xfId="0" applyFill="1" applyBorder="1" applyAlignment="1">
      <alignment horizontal="center" vertical="top" shrinkToFit="1"/>
    </xf>
    <xf numFmtId="0" fontId="0" fillId="6" borderId="3" xfId="0" applyFill="1" applyBorder="1" applyAlignment="1">
      <alignment horizontal="center" vertical="top" shrinkToFit="1"/>
    </xf>
    <xf numFmtId="0" fontId="0" fillId="6" borderId="2" xfId="0" applyFill="1" applyBorder="1" applyAlignment="1">
      <alignment horizontal="center" vertical="top"/>
    </xf>
    <xf numFmtId="0" fontId="0" fillId="6" borderId="5" xfId="0" applyFill="1" applyBorder="1" applyAlignment="1">
      <alignment horizontal="center" vertical="top"/>
    </xf>
    <xf numFmtId="0" fontId="0" fillId="6" borderId="3" xfId="0" applyFill="1" applyBorder="1" applyAlignment="1">
      <alignment horizontal="center" vertical="top"/>
    </xf>
    <xf numFmtId="0" fontId="0" fillId="2" borderId="2" xfId="0" applyFill="1" applyBorder="1" applyAlignment="1" applyProtection="1">
      <alignment horizontal="left" vertical="top"/>
      <protection locked="0"/>
    </xf>
    <xf numFmtId="0" fontId="0" fillId="2" borderId="5" xfId="0" applyFill="1" applyBorder="1" applyAlignment="1" applyProtection="1">
      <alignment horizontal="left" vertical="top"/>
      <protection locked="0"/>
    </xf>
    <xf numFmtId="0" fontId="0" fillId="2" borderId="3" xfId="0" applyFill="1" applyBorder="1" applyAlignment="1" applyProtection="1">
      <alignment horizontal="left" vertical="top"/>
      <protection locked="0"/>
    </xf>
    <xf numFmtId="0" fontId="25" fillId="0" borderId="30" xfId="6" applyFill="1" applyBorder="1" applyAlignment="1" applyProtection="1">
      <alignment vertical="top"/>
      <protection locked="0"/>
    </xf>
    <xf numFmtId="0" fontId="25" fillId="0" borderId="17" xfId="6" applyFill="1" applyBorder="1" applyAlignment="1" applyProtection="1">
      <alignment vertical="top"/>
      <protection locked="0"/>
    </xf>
    <xf numFmtId="0" fontId="25" fillId="0" borderId="18" xfId="6" applyFill="1" applyBorder="1" applyAlignment="1" applyProtection="1">
      <alignment vertical="top"/>
      <protection locked="0"/>
    </xf>
    <xf numFmtId="0" fontId="25" fillId="0" borderId="2" xfId="6" applyFill="1" applyBorder="1" applyAlignment="1" applyProtection="1">
      <alignment vertical="top"/>
      <protection locked="0"/>
    </xf>
    <xf numFmtId="0" fontId="25" fillId="0" borderId="5" xfId="6" applyFill="1" applyBorder="1" applyAlignment="1" applyProtection="1">
      <alignment vertical="top"/>
      <protection locked="0"/>
    </xf>
    <xf numFmtId="0" fontId="25" fillId="0" borderId="14" xfId="6" applyFill="1" applyBorder="1" applyAlignment="1" applyProtection="1">
      <alignment vertical="top"/>
      <protection locked="0"/>
    </xf>
    <xf numFmtId="0" fontId="25" fillId="0" borderId="20" xfId="6" applyBorder="1" applyAlignment="1" applyProtection="1">
      <protection locked="0"/>
    </xf>
    <xf numFmtId="0" fontId="25" fillId="0" borderId="21" xfId="6" applyBorder="1" applyAlignment="1" applyProtection="1">
      <protection locked="0"/>
    </xf>
    <xf numFmtId="0" fontId="25" fillId="0" borderId="22" xfId="6" applyBorder="1" applyAlignment="1" applyProtection="1">
      <protection locked="0"/>
    </xf>
    <xf numFmtId="0" fontId="25" fillId="0" borderId="2" xfId="6" applyBorder="1" applyAlignment="1" applyProtection="1">
      <protection locked="0"/>
    </xf>
    <xf numFmtId="0" fontId="25" fillId="0" borderId="5" xfId="6" applyBorder="1" applyAlignment="1" applyProtection="1">
      <protection locked="0"/>
    </xf>
    <xf numFmtId="0" fontId="25" fillId="0" borderId="14" xfId="6" applyBorder="1" applyAlignment="1" applyProtection="1">
      <protection locked="0"/>
    </xf>
    <xf numFmtId="0" fontId="25" fillId="0" borderId="16" xfId="6" applyFill="1" applyBorder="1" applyAlignment="1" applyProtection="1">
      <alignment vertical="top"/>
      <protection locked="0"/>
    </xf>
    <xf numFmtId="0" fontId="25" fillId="0" borderId="15" xfId="6" applyFill="1" applyBorder="1" applyAlignment="1" applyProtection="1">
      <alignment vertical="top"/>
      <protection locked="0"/>
    </xf>
    <xf numFmtId="0" fontId="25" fillId="0" borderId="26" xfId="6" applyBorder="1" applyAlignment="1" applyProtection="1">
      <protection locked="0"/>
    </xf>
    <xf numFmtId="0" fontId="23" fillId="6" borderId="38" xfId="0" applyFont="1" applyFill="1" applyBorder="1" applyAlignment="1">
      <alignment vertical="top" shrinkToFit="1"/>
    </xf>
    <xf numFmtId="0" fontId="23" fillId="6" borderId="39" xfId="0" applyFont="1" applyFill="1" applyBorder="1" applyAlignment="1">
      <alignment vertical="top" shrinkToFit="1"/>
    </xf>
    <xf numFmtId="0" fontId="25" fillId="0" borderId="40" xfId="6" applyFill="1" applyBorder="1" applyAlignment="1" applyProtection="1">
      <alignment vertical="top"/>
      <protection locked="0"/>
    </xf>
    <xf numFmtId="0" fontId="25" fillId="0" borderId="39" xfId="6" applyFill="1" applyBorder="1" applyAlignment="1" applyProtection="1">
      <alignment vertical="top"/>
      <protection locked="0"/>
    </xf>
    <xf numFmtId="0" fontId="25" fillId="0" borderId="41" xfId="6" applyFill="1" applyBorder="1" applyAlignment="1" applyProtection="1">
      <alignment vertical="top"/>
      <protection locked="0"/>
    </xf>
  </cellXfs>
  <cellStyles count="7">
    <cellStyle name="パーセント" xfId="2" builtinId="5"/>
    <cellStyle name="ハイパーリンク" xfId="6" builtinId="8"/>
    <cellStyle name="桁区切り" xfId="1" builtinId="6"/>
    <cellStyle name="桁区切り 2" xfId="5" xr:uid="{00000000-0005-0000-0000-000003000000}"/>
    <cellStyle name="標準" xfId="0" builtinId="0"/>
    <cellStyle name="標準 2" xfId="3" xr:uid="{00000000-0005-0000-0000-000005000000}"/>
    <cellStyle name="標準 5 8" xfId="4" xr:uid="{00000000-0005-0000-0000-000006000000}"/>
  </cellStyles>
  <dxfs count="8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7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rgb="FFFF4B4B"/>
        </patternFill>
      </fill>
    </dxf>
    <dxf>
      <fill>
        <patternFill>
          <bgColor theme="7"/>
        </patternFill>
      </fill>
    </dxf>
    <dxf>
      <fill>
        <patternFill>
          <bgColor rgb="FFFF4B4B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24994659260841701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ill>
        <patternFill>
          <bgColor theme="0"/>
        </patternFill>
      </fill>
    </dxf>
    <dxf>
      <font>
        <color rgb="FF0070C0"/>
      </font>
      <fill>
        <patternFill>
          <bgColor theme="7" tint="0.3999450666829432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4B4B"/>
        </patternFill>
      </fill>
    </dxf>
    <dxf>
      <fill>
        <patternFill>
          <bgColor rgb="FFFF4B4B"/>
        </patternFill>
      </fill>
    </dxf>
    <dxf>
      <font>
        <b/>
        <i val="0"/>
        <strike val="0"/>
        <color auto="1"/>
      </font>
      <fill>
        <patternFill>
          <bgColor theme="7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2CC"/>
      <color rgb="FFFFFFCC"/>
      <color rgb="FFCCFFCC"/>
      <color rgb="FF66CCFF"/>
      <color rgb="FFCCFFFF"/>
      <color rgb="FFCFFAFF"/>
      <color rgb="FFFFCC99"/>
      <color rgb="FFFF9696"/>
      <color rgb="FFFBFBFB"/>
      <color rgb="FFF0F0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g"/><Relationship Id="rId2" Type="http://schemas.openxmlformats.org/officeDocument/2006/relationships/image" Target="../media/image7.jpg"/><Relationship Id="rId1" Type="http://schemas.openxmlformats.org/officeDocument/2006/relationships/image" Target="../media/image6.jp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332597</xdr:colOff>
      <xdr:row>0</xdr:row>
      <xdr:rowOff>154108</xdr:rowOff>
    </xdr:from>
    <xdr:to>
      <xdr:col>10</xdr:col>
      <xdr:colOff>0</xdr:colOff>
      <xdr:row>3</xdr:row>
      <xdr:rowOff>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6238097" y="154108"/>
          <a:ext cx="2153428" cy="703142"/>
          <a:chOff x="17123228" y="2906486"/>
          <a:chExt cx="2144486" cy="68580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7123228" y="2906486"/>
            <a:ext cx="2144486" cy="6858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●凡例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7351828" y="3167743"/>
            <a:ext cx="772886" cy="370114"/>
          </a:xfrm>
          <a:prstGeom prst="rect">
            <a:avLst/>
          </a:prstGeom>
          <a:solidFill>
            <a:srgbClr val="FFF2CC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入力セル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8277114" y="3167744"/>
            <a:ext cx="772886" cy="370114"/>
          </a:xfrm>
          <a:prstGeom prst="rect">
            <a:avLst/>
          </a:prstGeom>
          <a:solidFill>
            <a:schemeClr val="accent6">
              <a:lumMod val="20000"/>
              <a:lumOff val="80000"/>
            </a:schemeClr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選択セル</a:t>
            </a:r>
          </a:p>
        </xdr:txBody>
      </xdr:sp>
    </xdr:grpSp>
    <xdr:clientData/>
  </xdr:twoCellAnchor>
  <xdr:twoCellAnchor>
    <xdr:from>
      <xdr:col>2</xdr:col>
      <xdr:colOff>3174</xdr:colOff>
      <xdr:row>12</xdr:row>
      <xdr:rowOff>0</xdr:rowOff>
    </xdr:from>
    <xdr:to>
      <xdr:col>10</xdr:col>
      <xdr:colOff>0</xdr:colOff>
      <xdr:row>16</xdr:row>
      <xdr:rowOff>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822324" y="2886075"/>
          <a:ext cx="7273926" cy="914400"/>
        </a:xfrm>
        <a:prstGeom prst="rect">
          <a:avLst/>
        </a:prstGeom>
        <a:solidFill>
          <a:sysClr val="window" lastClr="FFFFFF"/>
        </a:solidFill>
        <a:ln w="31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エネルギー使用量は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記入必須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です。申請を行う事業所の、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直近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年間の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使用量を記載してください。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設備で使用している種類のエネルギーを全て記載してください。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例：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設備で</a:t>
          </a:r>
          <a:r>
            <a:rPr kumimoji="1" lang="ja-JP" altLang="en-US" sz="1100">
              <a:solidFill>
                <a:sysClr val="windowText" lastClr="000000"/>
              </a:solidFill>
            </a:rPr>
            <a:t>「電気、都市ガス、灯油」を使用→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「電気、都市ガス、灯油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（選択セルから選択）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の年間使用量を記載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152400</xdr:colOff>
      <xdr:row>32</xdr:row>
      <xdr:rowOff>22324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228600"/>
          <a:ext cx="10058400" cy="7108924"/>
        </a:xfrm>
        <a:prstGeom prst="rect">
          <a:avLst/>
        </a:prstGeom>
      </xdr:spPr>
    </xdr:pic>
    <xdr:clientData/>
  </xdr:twoCellAnchor>
  <xdr:twoCellAnchor>
    <xdr:from>
      <xdr:col>10</xdr:col>
      <xdr:colOff>165100</xdr:colOff>
      <xdr:row>10</xdr:row>
      <xdr:rowOff>57150</xdr:rowOff>
    </xdr:from>
    <xdr:to>
      <xdr:col>14</xdr:col>
      <xdr:colOff>247650</xdr:colOff>
      <xdr:row>11</xdr:row>
      <xdr:rowOff>171450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6769100" y="2343150"/>
          <a:ext cx="2724150" cy="342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●空調（</a:t>
          </a:r>
          <a:r>
            <a:rPr kumimoji="1" lang="en-US" altLang="ja-JP" sz="1100">
              <a:solidFill>
                <a:srgbClr val="FF0000"/>
              </a:solidFill>
            </a:rPr>
            <a:t>EHP</a:t>
          </a:r>
          <a:r>
            <a:rPr kumimoji="1" lang="ja-JP" altLang="en-US" sz="1100">
              <a:solidFill>
                <a:srgbClr val="FF0000"/>
              </a:solidFill>
            </a:rPr>
            <a:t>）関連の劣化率の参考元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</xdr:col>
      <xdr:colOff>0</xdr:colOff>
      <xdr:row>33</xdr:row>
      <xdr:rowOff>0</xdr:rowOff>
    </xdr:from>
    <xdr:to>
      <xdr:col>11</xdr:col>
      <xdr:colOff>235857</xdr:colOff>
      <xdr:row>76</xdr:row>
      <xdr:rowOff>155739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14" y="7483929"/>
          <a:ext cx="6858000" cy="9907524"/>
        </a:xfrm>
        <a:prstGeom prst="rect">
          <a:avLst/>
        </a:prstGeom>
      </xdr:spPr>
    </xdr:pic>
    <xdr:clientData/>
  </xdr:twoCellAnchor>
  <xdr:twoCellAnchor>
    <xdr:from>
      <xdr:col>6</xdr:col>
      <xdr:colOff>209176</xdr:colOff>
      <xdr:row>50</xdr:row>
      <xdr:rowOff>14941</xdr:rowOff>
    </xdr:from>
    <xdr:to>
      <xdr:col>10</xdr:col>
      <xdr:colOff>291726</xdr:colOff>
      <xdr:row>51</xdr:row>
      <xdr:rowOff>129242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4153647" y="11594353"/>
          <a:ext cx="2712197" cy="34588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>
              <a:solidFill>
                <a:srgbClr val="FF0000"/>
              </a:solidFill>
            </a:rPr>
            <a:t>●空調（</a:t>
          </a:r>
          <a:r>
            <a:rPr kumimoji="1" lang="en-US" altLang="ja-JP" sz="1100">
              <a:solidFill>
                <a:srgbClr val="FF0000"/>
              </a:solidFill>
            </a:rPr>
            <a:t>GHP</a:t>
          </a:r>
          <a:r>
            <a:rPr kumimoji="1" lang="ja-JP" altLang="en-US" sz="1100">
              <a:solidFill>
                <a:srgbClr val="FF0000"/>
              </a:solidFill>
            </a:rPr>
            <a:t>）の</a:t>
          </a:r>
          <a:r>
            <a:rPr kumimoji="1" lang="en-US" altLang="ja-JP" sz="1100">
              <a:solidFill>
                <a:srgbClr val="FF0000"/>
              </a:solidFill>
            </a:rPr>
            <a:t>COP</a:t>
          </a:r>
          <a:r>
            <a:rPr kumimoji="1" lang="ja-JP" altLang="en-US" sz="1100">
              <a:solidFill>
                <a:srgbClr val="FF0000"/>
              </a:solidFill>
            </a:rPr>
            <a:t>参考元</a:t>
          </a:r>
          <a:endParaRPr kumimoji="1" lang="en-US" altLang="ja-JP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0</xdr:colOff>
      <xdr:row>119</xdr:row>
      <xdr:rowOff>0</xdr:rowOff>
    </xdr:from>
    <xdr:to>
      <xdr:col>16</xdr:col>
      <xdr:colOff>152400</xdr:colOff>
      <xdr:row>150</xdr:row>
      <xdr:rowOff>26094</xdr:rowOff>
    </xdr:to>
    <xdr:grpSp>
      <xdr:nvGrpSpPr>
        <xdr:cNvPr id="10" name="グループ化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GrpSpPr/>
      </xdr:nvGrpSpPr>
      <xdr:grpSpPr>
        <a:xfrm>
          <a:off x="685800" y="28336875"/>
          <a:ext cx="10439400" cy="7407969"/>
          <a:chOff x="662214" y="26987500"/>
          <a:chExt cx="10085615" cy="7056451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C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2214" y="26987500"/>
            <a:ext cx="10085615" cy="7056451"/>
          </a:xfrm>
          <a:prstGeom prst="rect">
            <a:avLst/>
          </a:prstGeom>
        </xdr:spPr>
      </xdr:pic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C00-000007000000}"/>
              </a:ext>
            </a:extLst>
          </xdr:cNvPr>
          <xdr:cNvSpPr txBox="1"/>
        </xdr:nvSpPr>
        <xdr:spPr>
          <a:xfrm>
            <a:off x="7769678" y="27689628"/>
            <a:ext cx="1533979" cy="30298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>
                <a:solidFill>
                  <a:srgbClr val="FF0000"/>
                </a:solidFill>
              </a:rPr>
              <a:t>●日本</a:t>
            </a:r>
            <a:r>
              <a:rPr kumimoji="1" lang="en-US" altLang="ja-JP" sz="1100">
                <a:solidFill>
                  <a:srgbClr val="FF0000"/>
                </a:solidFill>
              </a:rPr>
              <a:t>LP</a:t>
            </a:r>
            <a:r>
              <a:rPr kumimoji="1" lang="ja-JP" altLang="en-US" sz="1100">
                <a:solidFill>
                  <a:srgbClr val="FF0000"/>
                </a:solidFill>
              </a:rPr>
              <a:t>ガス協会</a:t>
            </a:r>
            <a:endParaRPr kumimoji="1" lang="en-US" altLang="ja-JP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1</xdr:col>
      <xdr:colOff>0</xdr:colOff>
      <xdr:row>78</xdr:row>
      <xdr:rowOff>0</xdr:rowOff>
    </xdr:from>
    <xdr:to>
      <xdr:col>9</xdr:col>
      <xdr:colOff>626359</xdr:colOff>
      <xdr:row>117</xdr:row>
      <xdr:rowOff>226648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214" y="17689286"/>
          <a:ext cx="5924074" cy="9071291"/>
        </a:xfrm>
        <a:prstGeom prst="rect">
          <a:avLst/>
        </a:prstGeom>
      </xdr:spPr>
    </xdr:pic>
    <xdr:clientData/>
  </xdr:twoCellAnchor>
  <xdr:twoCellAnchor editAs="oneCell">
    <xdr:from>
      <xdr:col>11</xdr:col>
      <xdr:colOff>23341</xdr:colOff>
      <xdr:row>78</xdr:row>
      <xdr:rowOff>0</xdr:rowOff>
    </xdr:from>
    <xdr:to>
      <xdr:col>20</xdr:col>
      <xdr:colOff>0</xdr:colOff>
      <xdr:row>117</xdr:row>
      <xdr:rowOff>118870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307698" y="17689286"/>
          <a:ext cx="5936588" cy="89635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9</xdr:col>
      <xdr:colOff>0</xdr:colOff>
      <xdr:row>14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72143" y="2939143"/>
          <a:ext cx="6667500" cy="979714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769469</xdr:colOff>
      <xdr:row>7</xdr:row>
      <xdr:rowOff>0</xdr:rowOff>
    </xdr:from>
    <xdr:to>
      <xdr:col>19</xdr:col>
      <xdr:colOff>769469</xdr:colOff>
      <xdr:row>8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7448175" y="2017059"/>
          <a:ext cx="8113059" cy="2540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エネルギーの削減に繋がらないため、数量の増加は原則認められません。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771069</xdr:colOff>
      <xdr:row>13</xdr:row>
      <xdr:rowOff>2</xdr:rowOff>
    </xdr:from>
    <xdr:to>
      <xdr:col>13</xdr:col>
      <xdr:colOff>1188354</xdr:colOff>
      <xdr:row>16</xdr:row>
      <xdr:rowOff>3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pSpPr/>
      </xdr:nvGrpSpPr>
      <xdr:grpSpPr>
        <a:xfrm>
          <a:off x="7710712" y="3660323"/>
          <a:ext cx="3519713" cy="734787"/>
          <a:chOff x="7808257" y="2518206"/>
          <a:chExt cx="2783012" cy="628408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5" name="テキスト ボックス 14">
              <a:extLst>
                <a:ext uri="{FF2B5EF4-FFF2-40B4-BE49-F238E27FC236}">
                  <a16:creationId xmlns:a16="http://schemas.microsoft.com/office/drawing/2014/main" id="{00000000-0008-0000-0100-00000F000000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4" name="テキスト ボックス 13">
              <a:extLst>
                <a:ext uri="{FF2B5EF4-FFF2-40B4-BE49-F238E27FC236}">
                  <a16:creationId xmlns:a16="http://schemas.microsoft.com/office/drawing/2014/main" id="{00000000-0008-0000-0100-00000E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2" name="テキスト ボックス 1">
              <a:extLst>
                <a:ext uri="{FF2B5EF4-FFF2-40B4-BE49-F238E27FC236}">
                  <a16:creationId xmlns:a16="http://schemas.microsoft.com/office/drawing/2014/main" id="{00000000-0008-0000-0100-000002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2</xdr:col>
      <xdr:colOff>0</xdr:colOff>
      <xdr:row>529</xdr:row>
      <xdr:rowOff>0</xdr:rowOff>
    </xdr:from>
    <xdr:to>
      <xdr:col>3</xdr:col>
      <xdr:colOff>0</xdr:colOff>
      <xdr:row>537</xdr:row>
      <xdr:rowOff>4801</xdr:rowOff>
    </xdr:to>
    <xdr:sp macro="" textlink="">
      <xdr:nvSpPr>
        <xdr:cNvPr id="28" name="角丸四角形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879929" y="120931214"/>
          <a:ext cx="1188357" cy="221823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276224</xdr:colOff>
      <xdr:row>539</xdr:row>
      <xdr:rowOff>2986</xdr:rowOff>
    </xdr:from>
    <xdr:to>
      <xdr:col>3</xdr:col>
      <xdr:colOff>273236</xdr:colOff>
      <xdr:row>552</xdr:row>
      <xdr:rowOff>0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 flipH="1">
          <a:off x="276224" y="124961461"/>
          <a:ext cx="2292537" cy="2968814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■望ましい記載：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型番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●型番が不明な場合の記載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</a:t>
          </a:r>
          <a:r>
            <a:rPr kumimoji="1" lang="ja-JP" altLang="en-US" sz="1100" b="1">
              <a:solidFill>
                <a:sysClr val="windowText" lastClr="000000"/>
              </a:solidFill>
            </a:rPr>
            <a:t>規格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</a:rPr>
            <a:t>灯数」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</a:t>
          </a:r>
          <a:r>
            <a:rPr kumimoji="1" lang="ja-JP" altLang="en-US" sz="1100" b="1">
              <a:solidFill>
                <a:sysClr val="windowText" lastClr="000000"/>
              </a:solidFill>
            </a:rPr>
            <a:t>ランプ</a:t>
          </a:r>
          <a:r>
            <a:rPr kumimoji="1" lang="en-US" altLang="ja-JP" sz="1100" b="1">
              <a:solidFill>
                <a:sysClr val="windowText" lastClr="000000"/>
              </a:solidFill>
            </a:rPr>
            <a:t>W</a:t>
          </a:r>
          <a:r>
            <a:rPr kumimoji="1" lang="ja-JP" altLang="en-US" sz="1100" b="1">
              <a:solidFill>
                <a:sysClr val="windowText" lastClr="000000"/>
              </a:solidFill>
            </a:rPr>
            <a:t>数、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灯数」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・どういった規格の設備か分かるように記載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灯数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や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W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が異なるものは判別できるように記載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546192</xdr:colOff>
      <xdr:row>537</xdr:row>
      <xdr:rowOff>7977</xdr:rowOff>
    </xdr:from>
    <xdr:to>
      <xdr:col>2</xdr:col>
      <xdr:colOff>709613</xdr:colOff>
      <xdr:row>539</xdr:row>
      <xdr:rowOff>2987</xdr:rowOff>
    </xdr:to>
    <xdr:cxnSp macro="">
      <xdr:nvCxnSpPr>
        <xdr:cNvPr id="30" name="カギ線コネクタ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CxnSpPr>
          <a:stCxn id="28" idx="2"/>
          <a:endCxn id="29" idx="0"/>
        </xdr:cNvCxnSpPr>
      </xdr:nvCxnSpPr>
      <xdr:spPr>
        <a:xfrm rot="5400000">
          <a:off x="1278098" y="124653646"/>
          <a:ext cx="452210" cy="163421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532</xdr:row>
      <xdr:rowOff>0</xdr:rowOff>
    </xdr:from>
    <xdr:to>
      <xdr:col>5</xdr:col>
      <xdr:colOff>0</xdr:colOff>
      <xdr:row>537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2831353" y="124893294"/>
          <a:ext cx="769471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447675</xdr:colOff>
      <xdr:row>539</xdr:row>
      <xdr:rowOff>0</xdr:rowOff>
    </xdr:from>
    <xdr:to>
      <xdr:col>7</xdr:col>
      <xdr:colOff>622299</xdr:colOff>
      <xdr:row>552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 flipH="1">
          <a:off x="2743200" y="124958475"/>
          <a:ext cx="3260724" cy="29718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仕様書等に基づいた消費電力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●仕様書等がない場合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・光源（蛍光管等）に載っている消費電力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・根拠に基づいた消費電力を記載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1180032</xdr:colOff>
      <xdr:row>554</xdr:row>
      <xdr:rowOff>0</xdr:rowOff>
    </xdr:from>
    <xdr:to>
      <xdr:col>7</xdr:col>
      <xdr:colOff>619125</xdr:colOff>
      <xdr:row>558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 flipH="1">
          <a:off x="2056332" y="128387475"/>
          <a:ext cx="3944418" cy="91440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0</xdr:colOff>
      <xdr:row>532</xdr:row>
      <xdr:rowOff>0</xdr:rowOff>
    </xdr:from>
    <xdr:to>
      <xdr:col>16</xdr:col>
      <xdr:colOff>0</xdr:colOff>
      <xdr:row>537</xdr:row>
      <xdr:rowOff>0</xdr:rowOff>
    </xdr:to>
    <xdr:sp macro="" textlink="">
      <xdr:nvSpPr>
        <xdr:cNvPr id="40" name="角丸四角形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/>
      </xdr:nvSpPr>
      <xdr:spPr>
        <a:xfrm>
          <a:off x="12916647" y="124893294"/>
          <a:ext cx="769471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559358</xdr:colOff>
      <xdr:row>537</xdr:row>
      <xdr:rowOff>1</xdr:rowOff>
    </xdr:from>
    <xdr:to>
      <xdr:col>15</xdr:col>
      <xdr:colOff>384175</xdr:colOff>
      <xdr:row>539</xdr:row>
      <xdr:rowOff>1</xdr:rowOff>
    </xdr:to>
    <xdr:cxnSp macro="">
      <xdr:nvCxnSpPr>
        <xdr:cNvPr id="41" name="カギ線コネクタ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CxnSpPr>
          <a:stCxn id="40" idx="2"/>
          <a:endCxn id="56" idx="0"/>
        </xdr:cNvCxnSpPr>
      </xdr:nvCxnSpPr>
      <xdr:spPr>
        <a:xfrm rot="5400000">
          <a:off x="11562042" y="123903067"/>
          <a:ext cx="457200" cy="593167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1118</xdr:colOff>
      <xdr:row>543</xdr:row>
      <xdr:rowOff>219821</xdr:rowOff>
    </xdr:from>
    <xdr:to>
      <xdr:col>17</xdr:col>
      <xdr:colOff>314324</xdr:colOff>
      <xdr:row>548</xdr:row>
      <xdr:rowOff>0</xdr:rowOff>
    </xdr:to>
    <xdr:sp macro="" textlink="">
      <xdr:nvSpPr>
        <xdr:cNvPr id="48" name="角丸四角形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 flipH="1">
          <a:off x="10041589" y="123764674"/>
          <a:ext cx="4055970" cy="900767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0</xdr:colOff>
      <xdr:row>532</xdr:row>
      <xdr:rowOff>0</xdr:rowOff>
    </xdr:from>
    <xdr:to>
      <xdr:col>14</xdr:col>
      <xdr:colOff>0</xdr:colOff>
      <xdr:row>537</xdr:row>
      <xdr:rowOff>0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10959353" y="124893294"/>
          <a:ext cx="1187823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593724</xdr:colOff>
      <xdr:row>537</xdr:row>
      <xdr:rowOff>0</xdr:rowOff>
    </xdr:from>
    <xdr:to>
      <xdr:col>14</xdr:col>
      <xdr:colOff>559357</xdr:colOff>
      <xdr:row>539</xdr:row>
      <xdr:rowOff>0</xdr:rowOff>
    </xdr:to>
    <xdr:cxnSp macro="">
      <xdr:nvCxnSpPr>
        <xdr:cNvPr id="53" name="カギ線コネクタ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CxnSpPr>
          <a:stCxn id="52" idx="2"/>
          <a:endCxn id="56" idx="0"/>
        </xdr:cNvCxnSpPr>
      </xdr:nvCxnSpPr>
      <xdr:spPr>
        <a:xfrm rot="16200000" flipH="1">
          <a:off x="10688916" y="123623108"/>
          <a:ext cx="457200" cy="1153083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1118</xdr:colOff>
      <xdr:row>539</xdr:row>
      <xdr:rowOff>0</xdr:rowOff>
    </xdr:from>
    <xdr:to>
      <xdr:col>16</xdr:col>
      <xdr:colOff>768349</xdr:colOff>
      <xdr:row>542</xdr:row>
      <xdr:rowOff>0</xdr:rowOff>
    </xdr:to>
    <xdr:sp macro="" textlink="">
      <xdr:nvSpPr>
        <xdr:cNvPr id="56" name="角丸四角形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/>
      </xdr:nvSpPr>
      <xdr:spPr>
        <a:xfrm flipH="1">
          <a:off x="9748368" y="124428250"/>
          <a:ext cx="3491381" cy="6858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0">
              <a:solidFill>
                <a:sysClr val="windowText" lastClr="000000"/>
              </a:solidFill>
            </a:rPr>
            <a:t>■型番、消費電力：仕様書等に基づいた型番、値</a:t>
          </a:r>
          <a:endParaRPr kumimoji="1" lang="en-US" altLang="ja-JP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447953</xdr:colOff>
      <xdr:row>541</xdr:row>
      <xdr:rowOff>224116</xdr:rowOff>
    </xdr:from>
    <xdr:to>
      <xdr:col>14</xdr:col>
      <xdr:colOff>605956</xdr:colOff>
      <xdr:row>543</xdr:row>
      <xdr:rowOff>219820</xdr:rowOff>
    </xdr:to>
    <xdr:cxnSp macro="">
      <xdr:nvCxnSpPr>
        <xdr:cNvPr id="65" name="カギ線コネクタ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CxnSpPr>
          <a:stCxn id="56" idx="2"/>
          <a:endCxn id="48" idx="0"/>
        </xdr:cNvCxnSpPr>
      </xdr:nvCxnSpPr>
      <xdr:spPr>
        <a:xfrm rot="16200000" flipH="1">
          <a:off x="11768603" y="123463702"/>
          <a:ext cx="443939" cy="158003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189966</xdr:colOff>
      <xdr:row>552</xdr:row>
      <xdr:rowOff>0</xdr:rowOff>
    </xdr:from>
    <xdr:to>
      <xdr:col>5</xdr:col>
      <xdr:colOff>531812</xdr:colOff>
      <xdr:row>554</xdr:row>
      <xdr:rowOff>0</xdr:rowOff>
    </xdr:to>
    <xdr:cxnSp macro="">
      <xdr:nvCxnSpPr>
        <xdr:cNvPr id="67" name="カギ線コネクタ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CxnSpPr>
          <a:stCxn id="32" idx="2"/>
          <a:endCxn id="33" idx="0"/>
        </xdr:cNvCxnSpPr>
      </xdr:nvCxnSpPr>
      <xdr:spPr>
        <a:xfrm rot="5400000">
          <a:off x="3970864" y="127987952"/>
          <a:ext cx="457200" cy="341846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529</xdr:row>
      <xdr:rowOff>1</xdr:rowOff>
    </xdr:from>
    <xdr:to>
      <xdr:col>7</xdr:col>
      <xdr:colOff>0</xdr:colOff>
      <xdr:row>531</xdr:row>
      <xdr:rowOff>1</xdr:rowOff>
    </xdr:to>
    <xdr:sp macro="" textlink="">
      <xdr:nvSpPr>
        <xdr:cNvPr id="71" name="角丸四角形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/>
      </xdr:nvSpPr>
      <xdr:spPr>
        <a:xfrm>
          <a:off x="3600824" y="123854883"/>
          <a:ext cx="1538941" cy="859118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373529</xdr:colOff>
      <xdr:row>521</xdr:row>
      <xdr:rowOff>358589</xdr:rowOff>
    </xdr:from>
    <xdr:to>
      <xdr:col>13</xdr:col>
      <xdr:colOff>791883</xdr:colOff>
      <xdr:row>527</xdr:row>
      <xdr:rowOff>179295</xdr:rowOff>
    </xdr:to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 txBox="1"/>
      </xdr:nvSpPr>
      <xdr:spPr>
        <a:xfrm>
          <a:off x="7052235" y="120971236"/>
          <a:ext cx="3496236" cy="1344706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必要に応じて、使用時間の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を求める場合や、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8</xdr:col>
      <xdr:colOff>605118</xdr:colOff>
      <xdr:row>524</xdr:row>
      <xdr:rowOff>201707</xdr:rowOff>
    </xdr:from>
    <xdr:to>
      <xdr:col>9</xdr:col>
      <xdr:colOff>373529</xdr:colOff>
      <xdr:row>525</xdr:row>
      <xdr:rowOff>26147</xdr:rowOff>
    </xdr:to>
    <xdr:cxnSp macro="">
      <xdr:nvCxnSpPr>
        <xdr:cNvPr id="73" name="カギ線コネクタ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CxnSpPr>
          <a:stCxn id="122" idx="1"/>
          <a:endCxn id="72" idx="1"/>
        </xdr:cNvCxnSpPr>
      </xdr:nvCxnSpPr>
      <xdr:spPr>
        <a:xfrm flipV="1">
          <a:off x="6514353" y="121643589"/>
          <a:ext cx="537882" cy="56029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0</xdr:colOff>
      <xdr:row>532</xdr:row>
      <xdr:rowOff>0</xdr:rowOff>
    </xdr:from>
    <xdr:to>
      <xdr:col>9</xdr:col>
      <xdr:colOff>0</xdr:colOff>
      <xdr:row>537</xdr:row>
      <xdr:rowOff>0</xdr:rowOff>
    </xdr:to>
    <xdr:sp macro="" textlink="">
      <xdr:nvSpPr>
        <xdr:cNvPr id="82" name="角丸四角形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/>
      </xdr:nvSpPr>
      <xdr:spPr>
        <a:xfrm>
          <a:off x="5139765" y="124945588"/>
          <a:ext cx="1538941" cy="11579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3172</xdr:colOff>
      <xdr:row>539</xdr:row>
      <xdr:rowOff>4480</xdr:rowOff>
    </xdr:from>
    <xdr:to>
      <xdr:col>12</xdr:col>
      <xdr:colOff>714373</xdr:colOff>
      <xdr:row>557</xdr:row>
      <xdr:rowOff>224117</xdr:rowOff>
    </xdr:to>
    <xdr:sp macro="" textlink="">
      <xdr:nvSpPr>
        <xdr:cNvPr id="83" name="角丸四角形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/>
      </xdr:nvSpPr>
      <xdr:spPr>
        <a:xfrm flipH="1">
          <a:off x="6177613" y="122652862"/>
          <a:ext cx="3804025" cy="425375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■人感センサ有無の選択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・センサがある場合は緑色セルの列で「○」を選択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点灯率の列のセル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が記入</a:t>
          </a:r>
          <a:r>
            <a:rPr kumimoji="1" lang="ja-JP" altLang="en-US" sz="1100">
              <a:solidFill>
                <a:sysClr val="windowText" lastClr="000000"/>
              </a:solidFill>
            </a:rPr>
            <a:t>色に変わる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■人感センサ点灯率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・「日使用時間」に対してのセンサによる点灯率をパーセントで記載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★人感センサが有る場合の入力例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・倉庫を１日２時間、年間</a:t>
          </a:r>
          <a:r>
            <a:rPr kumimoji="1" lang="en-US" altLang="ja-JP" sz="1100">
              <a:solidFill>
                <a:sysClr val="windowText" lastClr="000000"/>
              </a:solidFill>
            </a:rPr>
            <a:t>250</a:t>
          </a:r>
          <a:r>
            <a:rPr kumimoji="1" lang="ja-JP" altLang="en-US" sz="1100">
              <a:solidFill>
                <a:sysClr val="windowText" lastClr="000000"/>
              </a:solidFill>
            </a:rPr>
            <a:t>日使用、センサー点灯率</a:t>
          </a:r>
          <a:r>
            <a:rPr kumimoji="1" lang="en-US" altLang="ja-JP" sz="1100">
              <a:solidFill>
                <a:sysClr val="windowText" lastClr="000000"/>
              </a:solidFill>
            </a:rPr>
            <a:t>30</a:t>
          </a:r>
          <a:r>
            <a:rPr kumimoji="1" lang="ja-JP" altLang="en-US" sz="1100">
              <a:solidFill>
                <a:sysClr val="windowText" lastClr="000000"/>
              </a:solidFill>
            </a:rPr>
            <a:t>％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→日使用時間へ「</a:t>
          </a:r>
          <a:r>
            <a:rPr kumimoji="1" lang="en-US" altLang="ja-JP" sz="1100">
              <a:solidFill>
                <a:sysClr val="windowText" lastClr="000000"/>
              </a:solidFill>
            </a:rPr>
            <a:t>2</a:t>
          </a:r>
          <a:r>
            <a:rPr kumimoji="1" lang="ja-JP" altLang="en-US" sz="1100">
              <a:solidFill>
                <a:sysClr val="windowText" lastClr="000000"/>
              </a:solidFill>
            </a:rPr>
            <a:t>」、年間使用日数へ「</a:t>
          </a:r>
          <a:r>
            <a:rPr kumimoji="1" lang="en-US" altLang="ja-JP" sz="1100">
              <a:solidFill>
                <a:sysClr val="windowText" lastClr="000000"/>
              </a:solidFill>
            </a:rPr>
            <a:t>250</a:t>
          </a:r>
          <a:r>
            <a:rPr kumimoji="1" lang="ja-JP" altLang="en-US" sz="1100">
              <a:solidFill>
                <a:sysClr val="windowText" lastClr="000000"/>
              </a:solidFill>
            </a:rPr>
            <a:t>」、人感センサ有無に「○」、点灯率へ「</a:t>
          </a:r>
          <a:r>
            <a:rPr kumimoji="1" lang="en-US" altLang="ja-JP" sz="1100">
              <a:solidFill>
                <a:sysClr val="windowText" lastClr="000000"/>
              </a:solidFill>
            </a:rPr>
            <a:t>30</a:t>
          </a:r>
          <a:r>
            <a:rPr kumimoji="1" lang="ja-JP" altLang="en-US" sz="1100">
              <a:solidFill>
                <a:sysClr val="windowText" lastClr="000000"/>
              </a:solidFill>
            </a:rPr>
            <a:t>」と入力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★注意点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運用対策等は含みません。（例：昼休み中に職員が消灯して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点灯率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％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など。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385762</xdr:colOff>
      <xdr:row>537</xdr:row>
      <xdr:rowOff>0</xdr:rowOff>
    </xdr:from>
    <xdr:to>
      <xdr:col>5</xdr:col>
      <xdr:colOff>534986</xdr:colOff>
      <xdr:row>539</xdr:row>
      <xdr:rowOff>0</xdr:rowOff>
    </xdr:to>
    <xdr:cxnSp macro="">
      <xdr:nvCxnSpPr>
        <xdr:cNvPr id="86" name="カギ線コネクタ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CxnSpPr>
          <a:stCxn id="31" idx="2"/>
          <a:endCxn id="32" idx="0"/>
        </xdr:cNvCxnSpPr>
      </xdr:nvCxnSpPr>
      <xdr:spPr>
        <a:xfrm rot="16200000" flipH="1">
          <a:off x="3684587" y="124269500"/>
          <a:ext cx="457200" cy="920749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</xdr:colOff>
      <xdr:row>536</xdr:row>
      <xdr:rowOff>224117</xdr:rowOff>
    </xdr:from>
    <xdr:to>
      <xdr:col>10</xdr:col>
      <xdr:colOff>358773</xdr:colOff>
      <xdr:row>539</xdr:row>
      <xdr:rowOff>4479</xdr:rowOff>
    </xdr:to>
    <xdr:cxnSp macro="">
      <xdr:nvCxnSpPr>
        <xdr:cNvPr id="92" name="カギ線コネクタ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CxnSpPr>
          <a:stCxn id="82" idx="2"/>
          <a:endCxn id="83" idx="0"/>
        </xdr:cNvCxnSpPr>
      </xdr:nvCxnSpPr>
      <xdr:spPr>
        <a:xfrm rot="16200000" flipH="1">
          <a:off x="6900676" y="121473912"/>
          <a:ext cx="452715" cy="1905184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0</xdr:colOff>
      <xdr:row>523</xdr:row>
      <xdr:rowOff>179294</xdr:rowOff>
    </xdr:from>
    <xdr:to>
      <xdr:col>8</xdr:col>
      <xdr:colOff>605118</xdr:colOff>
      <xdr:row>526</xdr:row>
      <xdr:rowOff>104588</xdr:rowOff>
    </xdr:to>
    <xdr:sp macro="" textlink="">
      <xdr:nvSpPr>
        <xdr:cNvPr id="122" name="角丸四角形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/>
      </xdr:nvSpPr>
      <xdr:spPr>
        <a:xfrm flipH="1">
          <a:off x="2831353" y="121255118"/>
          <a:ext cx="3683000" cy="620058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</xdr:colOff>
      <xdr:row>526</xdr:row>
      <xdr:rowOff>104588</xdr:rowOff>
    </xdr:from>
    <xdr:to>
      <xdr:col>6</xdr:col>
      <xdr:colOff>302559</xdr:colOff>
      <xdr:row>529</xdr:row>
      <xdr:rowOff>1</xdr:rowOff>
    </xdr:to>
    <xdr:cxnSp macro="">
      <xdr:nvCxnSpPr>
        <xdr:cNvPr id="124" name="カギ線コネクタ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CxnSpPr>
          <a:stCxn id="122" idx="2"/>
          <a:endCxn id="71" idx="0"/>
        </xdr:cNvCxnSpPr>
      </xdr:nvCxnSpPr>
      <xdr:spPr>
        <a:xfrm rot="5400000">
          <a:off x="4226485" y="122018986"/>
          <a:ext cx="590178" cy="302558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1390651</xdr:colOff>
      <xdr:row>529</xdr:row>
      <xdr:rowOff>28575</xdr:rowOff>
    </xdr:from>
    <xdr:to>
      <xdr:col>14</xdr:col>
      <xdr:colOff>742951</xdr:colOff>
      <xdr:row>532</xdr:row>
      <xdr:rowOff>19049</xdr:rowOff>
    </xdr:to>
    <xdr:sp macro="" textlink="">
      <xdr:nvSpPr>
        <xdr:cNvPr id="139" name="角丸四角形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/>
      </xdr:nvSpPr>
      <xdr:spPr>
        <a:xfrm>
          <a:off x="11401426" y="126920625"/>
          <a:ext cx="771525" cy="885824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769467</xdr:colOff>
      <xdr:row>522</xdr:row>
      <xdr:rowOff>0</xdr:rowOff>
    </xdr:from>
    <xdr:to>
      <xdr:col>19</xdr:col>
      <xdr:colOff>672351</xdr:colOff>
      <xdr:row>527</xdr:row>
      <xdr:rowOff>82177</xdr:rowOff>
    </xdr:to>
    <xdr:sp macro="" textlink="">
      <xdr:nvSpPr>
        <xdr:cNvPr id="140" name="角丸四角形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/>
      </xdr:nvSpPr>
      <xdr:spPr>
        <a:xfrm flipH="1">
          <a:off x="11713879" y="120978706"/>
          <a:ext cx="3750237" cy="1240118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■要件上の注意点：台数</a:t>
          </a:r>
          <a:r>
            <a:rPr lang="ja-JP" altLang="ja-JP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の増加は原則認められませ</a:t>
          </a: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ん</a:t>
          </a:r>
          <a:endParaRPr lang="en-US" altLang="ja-JP" sz="110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（増加分は対象外）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更新前より台数が増加する場合は、合計の欄が赤くなります。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14</xdr:col>
      <xdr:colOff>357189</xdr:colOff>
      <xdr:row>524</xdr:row>
      <xdr:rowOff>160150</xdr:rowOff>
    </xdr:from>
    <xdr:to>
      <xdr:col>14</xdr:col>
      <xdr:colOff>769467</xdr:colOff>
      <xdr:row>529</xdr:row>
      <xdr:rowOff>28574</xdr:rowOff>
    </xdr:to>
    <xdr:cxnSp macro="">
      <xdr:nvCxnSpPr>
        <xdr:cNvPr id="141" name="カギ線コネクタ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CxnSpPr>
          <a:stCxn id="140" idx="3"/>
          <a:endCxn id="139" idx="0"/>
        </xdr:cNvCxnSpPr>
      </xdr:nvCxnSpPr>
      <xdr:spPr>
        <a:xfrm rot="10800000" flipV="1">
          <a:off x="11787189" y="125861575"/>
          <a:ext cx="412278" cy="1059049"/>
        </a:xfrm>
        <a:prstGeom prst="bentConnector2">
          <a:avLst/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44823</xdr:colOff>
      <xdr:row>522</xdr:row>
      <xdr:rowOff>0</xdr:rowOff>
    </xdr:from>
    <xdr:to>
      <xdr:col>24</xdr:col>
      <xdr:colOff>769469</xdr:colOff>
      <xdr:row>526</xdr:row>
      <xdr:rowOff>156884</xdr:rowOff>
    </xdr:to>
    <xdr:sp macro="" textlink="">
      <xdr:nvSpPr>
        <xdr:cNvPr id="148" name="角丸四角形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/>
      </xdr:nvSpPr>
      <xdr:spPr>
        <a:xfrm flipH="1">
          <a:off x="15606058" y="120612647"/>
          <a:ext cx="3802529" cy="1083237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■要件上の注意点：</a:t>
          </a: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消費電力が増加する機種は対象外</a:t>
          </a:r>
          <a:endParaRPr lang="en-US" altLang="ja-JP" sz="1100" b="0" i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更新前より消費電力が増加する場合は、値がマイナスになり、文字が赤くなります。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0</xdr:colOff>
      <xdr:row>528</xdr:row>
      <xdr:rowOff>1</xdr:rowOff>
    </xdr:from>
    <xdr:to>
      <xdr:col>25</xdr:col>
      <xdr:colOff>0</xdr:colOff>
      <xdr:row>537</xdr:row>
      <xdr:rowOff>1</xdr:rowOff>
    </xdr:to>
    <xdr:sp macro="" textlink="">
      <xdr:nvSpPr>
        <xdr:cNvPr id="149" name="角丸四角形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/>
      </xdr:nvSpPr>
      <xdr:spPr>
        <a:xfrm>
          <a:off x="17081500" y="121513601"/>
          <a:ext cx="2305050" cy="2457450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407147</xdr:colOff>
      <xdr:row>526</xdr:row>
      <xdr:rowOff>156883</xdr:rowOff>
    </xdr:from>
    <xdr:to>
      <xdr:col>23</xdr:col>
      <xdr:colOff>384736</xdr:colOff>
      <xdr:row>528</xdr:row>
      <xdr:rowOff>0</xdr:rowOff>
    </xdr:to>
    <xdr:cxnSp macro="">
      <xdr:nvCxnSpPr>
        <xdr:cNvPr id="150" name="カギ線コネクタ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CxnSpPr>
          <a:stCxn id="148" idx="2"/>
          <a:endCxn id="149" idx="0"/>
        </xdr:cNvCxnSpPr>
      </xdr:nvCxnSpPr>
      <xdr:spPr>
        <a:xfrm rot="16200000" flipH="1">
          <a:off x="17727706" y="121475500"/>
          <a:ext cx="306293" cy="747060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532</xdr:row>
      <xdr:rowOff>0</xdr:rowOff>
    </xdr:from>
    <xdr:to>
      <xdr:col>18</xdr:col>
      <xdr:colOff>0</xdr:colOff>
      <xdr:row>537</xdr:row>
      <xdr:rowOff>0</xdr:rowOff>
    </xdr:to>
    <xdr:sp macro="" textlink="">
      <xdr:nvSpPr>
        <xdr:cNvPr id="59" name="角丸四角形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/>
      </xdr:nvSpPr>
      <xdr:spPr>
        <a:xfrm>
          <a:off x="12471400" y="122828050"/>
          <a:ext cx="1536700" cy="11430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0</xdr:colOff>
      <xdr:row>536</xdr:row>
      <xdr:rowOff>224117</xdr:rowOff>
    </xdr:from>
    <xdr:to>
      <xdr:col>19</xdr:col>
      <xdr:colOff>386603</xdr:colOff>
      <xdr:row>538</xdr:row>
      <xdr:rowOff>224116</xdr:rowOff>
    </xdr:to>
    <xdr:cxnSp macro="">
      <xdr:nvCxnSpPr>
        <xdr:cNvPr id="60" name="カギ線コネクタ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CxnSpPr>
          <a:stCxn id="59" idx="2"/>
          <a:endCxn id="66" idx="0"/>
        </xdr:cNvCxnSpPr>
      </xdr:nvCxnSpPr>
      <xdr:spPr>
        <a:xfrm rot="16200000" flipH="1">
          <a:off x="14525625" y="120987109"/>
          <a:ext cx="448235" cy="1933015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0</xdr:colOff>
      <xdr:row>539</xdr:row>
      <xdr:rowOff>0</xdr:rowOff>
    </xdr:from>
    <xdr:to>
      <xdr:col>21</xdr:col>
      <xdr:colOff>0</xdr:colOff>
      <xdr:row>545</xdr:row>
      <xdr:rowOff>0</xdr:rowOff>
    </xdr:to>
    <xdr:sp macro="" textlink="">
      <xdr:nvSpPr>
        <xdr:cNvPr id="66" name="角丸四角形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/>
      </xdr:nvSpPr>
      <xdr:spPr>
        <a:xfrm flipH="1">
          <a:off x="14556441" y="122177735"/>
          <a:ext cx="2319618" cy="1344706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★注意点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更新前にも人感センサーがある場合、点灯率は更新前と同じ値にしてください。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0</xdr:colOff>
      <xdr:row>13</xdr:row>
      <xdr:rowOff>0</xdr:rowOff>
    </xdr:from>
    <xdr:to>
      <xdr:col>25</xdr:col>
      <xdr:colOff>0</xdr:colOff>
      <xdr:row>14</xdr:row>
      <xdr:rowOff>0</xdr:rowOff>
    </xdr:to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C9ED2426-9E69-B21A-0555-6D23C99C6015}"/>
            </a:ext>
          </a:extLst>
        </xdr:cNvPr>
        <xdr:cNvSpPr txBox="1"/>
      </xdr:nvSpPr>
      <xdr:spPr>
        <a:xfrm>
          <a:off x="15329647" y="3709147"/>
          <a:ext cx="4639235" cy="22411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(h)=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日使用時間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年間使用日数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人感センサ点灯率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19</xdr:col>
      <xdr:colOff>745</xdr:colOff>
      <xdr:row>14</xdr:row>
      <xdr:rowOff>0</xdr:rowOff>
    </xdr:from>
    <xdr:to>
      <xdr:col>25</xdr:col>
      <xdr:colOff>0</xdr:colOff>
      <xdr:row>15</xdr:row>
      <xdr:rowOff>0</xdr:rowOff>
    </xdr:to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2B2639A4-AAF2-6C80-46AA-7395DA290CC2}"/>
            </a:ext>
          </a:extLst>
        </xdr:cNvPr>
        <xdr:cNvSpPr txBox="1"/>
      </xdr:nvSpPr>
      <xdr:spPr>
        <a:xfrm>
          <a:off x="15330392" y="3933265"/>
          <a:ext cx="4638490" cy="22411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年間消費電力量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(kW)=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定格消費電力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(W)×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÷1,000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19</xdr:col>
      <xdr:colOff>0</xdr:colOff>
      <xdr:row>15</xdr:row>
      <xdr:rowOff>0</xdr:rowOff>
    </xdr:from>
    <xdr:to>
      <xdr:col>25</xdr:col>
      <xdr:colOff>0</xdr:colOff>
      <xdr:row>16</xdr:row>
      <xdr:rowOff>0</xdr:rowOff>
    </xdr:to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4B6E8878-1288-BB9A-F2E8-7A60386AA6C1}"/>
            </a:ext>
          </a:extLst>
        </xdr:cNvPr>
        <xdr:cNvSpPr txBox="1"/>
      </xdr:nvSpPr>
      <xdr:spPr>
        <a:xfrm>
          <a:off x="15329647" y="4157382"/>
          <a:ext cx="4639235" cy="22411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(tCO2)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＝年間消費電力量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×CO2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1866</xdr:colOff>
      <xdr:row>8</xdr:row>
      <xdr:rowOff>0</xdr:rowOff>
    </xdr:from>
    <xdr:to>
      <xdr:col>21</xdr:col>
      <xdr:colOff>0</xdr:colOff>
      <xdr:row>9</xdr:row>
      <xdr:rowOff>0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7890807" y="2076824"/>
          <a:ext cx="7692840" cy="23158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エネルギーの削減に繋がらない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ため、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定格能力の増加は原則認められません。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281213</xdr:colOff>
      <xdr:row>63</xdr:row>
      <xdr:rowOff>226784</xdr:rowOff>
    </xdr:from>
    <xdr:to>
      <xdr:col>3</xdr:col>
      <xdr:colOff>371929</xdr:colOff>
      <xdr:row>76</xdr:row>
      <xdr:rowOff>226785</xdr:rowOff>
    </xdr:to>
    <xdr:sp macro="" textlink="">
      <xdr:nvSpPr>
        <xdr:cNvPr id="10" name="角丸四角形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 flipH="1">
          <a:off x="281213" y="16292284"/>
          <a:ext cx="2594430" cy="294821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「</a:t>
          </a:r>
          <a:r>
            <a:rPr kumimoji="1" lang="ja-JP" altLang="en-US" sz="1100">
              <a:solidFill>
                <a:sysClr val="windowText" lastClr="000000"/>
              </a:solidFill>
            </a:rPr>
            <a:t>セット」又は「室外機」の型番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・空調の削減効果は「室外機」の効率により算定するため、セット又は室外機の型番の記載が必要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室内機は、消費エネルギーのうち占める割合が低いため、本算定では削減効果に加味しません。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3</xdr:col>
      <xdr:colOff>0</xdr:colOff>
      <xdr:row>62</xdr:row>
      <xdr:rowOff>0</xdr:rowOff>
    </xdr:to>
    <xdr:sp macro="" textlink="">
      <xdr:nvSpPr>
        <xdr:cNvPr id="11" name="角丸四角形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974912" y="14478000"/>
          <a:ext cx="1423147" cy="225238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547513</xdr:colOff>
      <xdr:row>62</xdr:row>
      <xdr:rowOff>1</xdr:rowOff>
    </xdr:from>
    <xdr:to>
      <xdr:col>2</xdr:col>
      <xdr:colOff>711574</xdr:colOff>
      <xdr:row>63</xdr:row>
      <xdr:rowOff>226785</xdr:rowOff>
    </xdr:to>
    <xdr:cxnSp macro="">
      <xdr:nvCxnSpPr>
        <xdr:cNvPr id="12" name="カギ線コネクタ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>
          <a:stCxn id="11" idx="2"/>
          <a:endCxn id="10" idx="0"/>
        </xdr:cNvCxnSpPr>
      </xdr:nvCxnSpPr>
      <xdr:spPr>
        <a:xfrm rot="5400000">
          <a:off x="1379005" y="16873803"/>
          <a:ext cx="450902" cy="164061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18143</xdr:colOff>
      <xdr:row>54</xdr:row>
      <xdr:rowOff>226785</xdr:rowOff>
    </xdr:from>
    <xdr:to>
      <xdr:col>5</xdr:col>
      <xdr:colOff>0</xdr:colOff>
      <xdr:row>62</xdr:row>
      <xdr:rowOff>0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3292929" y="12445999"/>
          <a:ext cx="752928" cy="227693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469900</xdr:colOff>
      <xdr:row>64</xdr:row>
      <xdr:rowOff>6350</xdr:rowOff>
    </xdr:from>
    <xdr:to>
      <xdr:col>9</xdr:col>
      <xdr:colOff>114300</xdr:colOff>
      <xdr:row>73</xdr:row>
      <xdr:rowOff>0</xdr:rowOff>
    </xdr:to>
    <xdr:sp macro="" textlink="">
      <xdr:nvSpPr>
        <xdr:cNvPr id="17" name="角丸四角形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 flipH="1">
          <a:off x="2971800" y="16510000"/>
          <a:ext cx="4254500" cy="20574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■設備種類：「電気式」か「</a:t>
          </a:r>
          <a:r>
            <a:rPr kumimoji="1" lang="en-US" altLang="ja-JP" sz="1100">
              <a:solidFill>
                <a:sysClr val="windowText" lastClr="000000"/>
              </a:solidFill>
            </a:rPr>
            <a:t>GHP</a:t>
          </a:r>
          <a:r>
            <a:rPr kumimoji="1" lang="ja-JP" altLang="en-US" sz="1100">
              <a:solidFill>
                <a:sysClr val="windowText" lastClr="000000"/>
              </a:solidFill>
            </a:rPr>
            <a:t>」の空調種類を選択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■ガス燃料種類：</a:t>
          </a:r>
          <a:r>
            <a:rPr kumimoji="1" lang="en-US" altLang="ja-JP" sz="1100">
              <a:solidFill>
                <a:sysClr val="windowText" lastClr="000000"/>
              </a:solidFill>
            </a:rPr>
            <a:t>GHP</a:t>
          </a:r>
          <a:r>
            <a:rPr kumimoji="1" lang="ja-JP" altLang="en-US" sz="1100">
              <a:solidFill>
                <a:sysClr val="windowText" lastClr="000000"/>
              </a:solidFill>
            </a:rPr>
            <a:t>の場合にガスの種類を選択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・電気式</a:t>
          </a:r>
          <a:r>
            <a:rPr kumimoji="1" lang="en-US" altLang="ja-JP" sz="1100">
              <a:solidFill>
                <a:sysClr val="windowText" lastClr="000000"/>
              </a:solidFill>
            </a:rPr>
            <a:t>…</a:t>
          </a:r>
          <a:r>
            <a:rPr kumimoji="1" lang="ja-JP" altLang="en-US" sz="1100">
              <a:solidFill>
                <a:sysClr val="windowText" lastClr="000000"/>
              </a:solidFill>
            </a:rPr>
            <a:t>電気のみを用いて稼働する</a:t>
          </a:r>
          <a:r>
            <a:rPr kumimoji="1" lang="en-US" altLang="ja-JP" sz="1100">
              <a:solidFill>
                <a:sysClr val="windowText" lastClr="000000"/>
              </a:solidFill>
            </a:rPr>
            <a:t>EHP</a:t>
          </a:r>
          <a:r>
            <a:rPr kumimoji="1" lang="ja-JP" altLang="en-US" sz="1100">
              <a:solidFill>
                <a:sysClr val="windowText" lastClr="000000"/>
              </a:solidFill>
            </a:rPr>
            <a:t>式の空調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GHP…</a:t>
          </a:r>
          <a:r>
            <a:rPr kumimoji="1" lang="ja-JP" altLang="en-US" sz="1100">
              <a:solidFill>
                <a:sysClr val="windowText" lastClr="000000"/>
              </a:solidFill>
            </a:rPr>
            <a:t>ガスを用いて稼働するガスヒートポンプ式の空調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857250</xdr:colOff>
      <xdr:row>49</xdr:row>
      <xdr:rowOff>231320</xdr:rowOff>
    </xdr:from>
    <xdr:to>
      <xdr:col>5</xdr:col>
      <xdr:colOff>772431</xdr:colOff>
      <xdr:row>51</xdr:row>
      <xdr:rowOff>231320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 flipH="1">
          <a:off x="1823357" y="13647963"/>
          <a:ext cx="2881538" cy="462643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既存設備を導入した年度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107270</xdr:colOff>
      <xdr:row>51</xdr:row>
      <xdr:rowOff>231319</xdr:rowOff>
    </xdr:from>
    <xdr:to>
      <xdr:col>4</xdr:col>
      <xdr:colOff>396876</xdr:colOff>
      <xdr:row>54</xdr:row>
      <xdr:rowOff>226784</xdr:rowOff>
    </xdr:to>
    <xdr:cxnSp macro="">
      <xdr:nvCxnSpPr>
        <xdr:cNvPr id="20" name="カギ線コネクタ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CxnSpPr>
          <a:stCxn id="18" idx="2"/>
          <a:endCxn id="16" idx="0"/>
        </xdr:cNvCxnSpPr>
      </xdr:nvCxnSpPr>
      <xdr:spPr>
        <a:xfrm rot="16200000" flipH="1">
          <a:off x="3064215" y="14310517"/>
          <a:ext cx="689429" cy="289606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</xdr:colOff>
      <xdr:row>62</xdr:row>
      <xdr:rowOff>0</xdr:rowOff>
    </xdr:from>
    <xdr:to>
      <xdr:col>6</xdr:col>
      <xdr:colOff>290513</xdr:colOff>
      <xdr:row>64</xdr:row>
      <xdr:rowOff>9524</xdr:rowOff>
    </xdr:to>
    <xdr:cxnSp macro="">
      <xdr:nvCxnSpPr>
        <xdr:cNvPr id="49" name="カギ線コネクタ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CxnSpPr>
          <a:stCxn id="52" idx="2"/>
          <a:endCxn id="17" idx="0"/>
        </xdr:cNvCxnSpPr>
      </xdr:nvCxnSpPr>
      <xdr:spPr>
        <a:xfrm rot="16200000" flipH="1">
          <a:off x="4612482" y="18218944"/>
          <a:ext cx="476249" cy="290512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55</xdr:row>
      <xdr:rowOff>0</xdr:rowOff>
    </xdr:from>
    <xdr:to>
      <xdr:col>7</xdr:col>
      <xdr:colOff>0</xdr:colOff>
      <xdr:row>62</xdr:row>
      <xdr:rowOff>1</xdr:rowOff>
    </xdr:to>
    <xdr:sp macro="" textlink="">
      <xdr:nvSpPr>
        <xdr:cNvPr id="52" name="角丸四角形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/>
      </xdr:nvSpPr>
      <xdr:spPr>
        <a:xfrm>
          <a:off x="4717676" y="14478000"/>
          <a:ext cx="1546412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241299</xdr:colOff>
      <xdr:row>64</xdr:row>
      <xdr:rowOff>0</xdr:rowOff>
    </xdr:from>
    <xdr:to>
      <xdr:col>15</xdr:col>
      <xdr:colOff>768349</xdr:colOff>
      <xdr:row>75</xdr:row>
      <xdr:rowOff>0</xdr:rowOff>
    </xdr:to>
    <xdr:sp macro="" textlink="">
      <xdr:nvSpPr>
        <xdr:cNvPr id="79" name="角丸四角形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/>
      </xdr:nvSpPr>
      <xdr:spPr>
        <a:xfrm flipH="1">
          <a:off x="7353299" y="16503650"/>
          <a:ext cx="5137150" cy="252095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■定格能力、定格消費電力、定格消費ガス量：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447165</xdr:colOff>
      <xdr:row>70</xdr:row>
      <xdr:rowOff>18144</xdr:rowOff>
    </xdr:from>
    <xdr:to>
      <xdr:col>26</xdr:col>
      <xdr:colOff>653143</xdr:colOff>
      <xdr:row>74</xdr:row>
      <xdr:rowOff>18143</xdr:rowOff>
    </xdr:to>
    <xdr:sp macro="" textlink="">
      <xdr:nvSpPr>
        <xdr:cNvPr id="80" name="角丸四角形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/>
      </xdr:nvSpPr>
      <xdr:spPr>
        <a:xfrm flipH="1">
          <a:off x="18372308" y="17680215"/>
          <a:ext cx="3789192" cy="91621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0070C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0</xdr:colOff>
      <xdr:row>55</xdr:row>
      <xdr:rowOff>0</xdr:rowOff>
    </xdr:from>
    <xdr:to>
      <xdr:col>10</xdr:col>
      <xdr:colOff>0</xdr:colOff>
      <xdr:row>62</xdr:row>
      <xdr:rowOff>1</xdr:rowOff>
    </xdr:to>
    <xdr:sp macro="" textlink="">
      <xdr:nvSpPr>
        <xdr:cNvPr id="81" name="角丸四角形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/>
      </xdr:nvSpPr>
      <xdr:spPr>
        <a:xfrm>
          <a:off x="6264088" y="14478000"/>
          <a:ext cx="2319618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56029</xdr:colOff>
      <xdr:row>55</xdr:row>
      <xdr:rowOff>0</xdr:rowOff>
    </xdr:from>
    <xdr:to>
      <xdr:col>15</xdr:col>
      <xdr:colOff>753971</xdr:colOff>
      <xdr:row>62</xdr:row>
      <xdr:rowOff>1</xdr:rowOff>
    </xdr:to>
    <xdr:sp macro="" textlink="">
      <xdr:nvSpPr>
        <xdr:cNvPr id="82" name="角丸四角形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/>
      </xdr:nvSpPr>
      <xdr:spPr>
        <a:xfrm>
          <a:off x="10186147" y="14478000"/>
          <a:ext cx="2244353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385762</xdr:colOff>
      <xdr:row>62</xdr:row>
      <xdr:rowOff>1</xdr:rowOff>
    </xdr:from>
    <xdr:to>
      <xdr:col>12</xdr:col>
      <xdr:colOff>504823</xdr:colOff>
      <xdr:row>64</xdr:row>
      <xdr:rowOff>0</xdr:rowOff>
    </xdr:to>
    <xdr:cxnSp macro="">
      <xdr:nvCxnSpPr>
        <xdr:cNvPr id="83" name="カギ線コネクタ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CxnSpPr>
          <a:stCxn id="81" idx="2"/>
          <a:endCxn id="79" idx="0"/>
        </xdr:cNvCxnSpPr>
      </xdr:nvCxnSpPr>
      <xdr:spPr>
        <a:xfrm rot="16200000" flipH="1">
          <a:off x="8003381" y="16756857"/>
          <a:ext cx="466724" cy="3205161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504824</xdr:colOff>
      <xdr:row>62</xdr:row>
      <xdr:rowOff>1</xdr:rowOff>
    </xdr:from>
    <xdr:to>
      <xdr:col>14</xdr:col>
      <xdr:colOff>405001</xdr:colOff>
      <xdr:row>64</xdr:row>
      <xdr:rowOff>0</xdr:rowOff>
    </xdr:to>
    <xdr:cxnSp macro="">
      <xdr:nvCxnSpPr>
        <xdr:cNvPr id="86" name="カギ線コネクタ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CxnSpPr>
          <a:stCxn id="82" idx="2"/>
          <a:endCxn id="79" idx="0"/>
        </xdr:cNvCxnSpPr>
      </xdr:nvCxnSpPr>
      <xdr:spPr>
        <a:xfrm rot="5400000">
          <a:off x="10355310" y="16236809"/>
          <a:ext cx="459441" cy="1446589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391431</xdr:colOff>
      <xdr:row>49</xdr:row>
      <xdr:rowOff>104774</xdr:rowOff>
    </xdr:from>
    <xdr:to>
      <xdr:col>19</xdr:col>
      <xdr:colOff>381000</xdr:colOff>
      <xdr:row>52</xdr:row>
      <xdr:rowOff>6350</xdr:rowOff>
    </xdr:to>
    <xdr:sp macro="" textlink="">
      <xdr:nvSpPr>
        <xdr:cNvPr id="92" name="角丸四角形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/>
      </xdr:nvSpPr>
      <xdr:spPr>
        <a:xfrm flipH="1">
          <a:off x="11304360" y="13521417"/>
          <a:ext cx="3867604" cy="595540"/>
        </a:xfrm>
        <a:prstGeom prst="roundRect">
          <a:avLst/>
        </a:prstGeom>
        <a:solidFill>
          <a:schemeClr val="accent4">
            <a:lumMod val="40000"/>
            <a:lumOff val="6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■年間使用時間：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1</xdr:colOff>
      <xdr:row>55</xdr:row>
      <xdr:rowOff>0</xdr:rowOff>
    </xdr:from>
    <xdr:to>
      <xdr:col>12</xdr:col>
      <xdr:colOff>0</xdr:colOff>
      <xdr:row>62</xdr:row>
      <xdr:rowOff>0</xdr:rowOff>
    </xdr:to>
    <xdr:sp macro="" textlink="">
      <xdr:nvSpPr>
        <xdr:cNvPr id="93" name="角丸四角形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/>
      </xdr:nvSpPr>
      <xdr:spPr>
        <a:xfrm>
          <a:off x="8583707" y="14478000"/>
          <a:ext cx="1546411" cy="2252382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0</xdr:colOff>
      <xdr:row>55</xdr:row>
      <xdr:rowOff>0</xdr:rowOff>
    </xdr:from>
    <xdr:to>
      <xdr:col>19</xdr:col>
      <xdr:colOff>1039</xdr:colOff>
      <xdr:row>62</xdr:row>
      <xdr:rowOff>0</xdr:rowOff>
    </xdr:to>
    <xdr:sp macro="" textlink="">
      <xdr:nvSpPr>
        <xdr:cNvPr id="94" name="角丸四角形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/>
      </xdr:nvSpPr>
      <xdr:spPr>
        <a:xfrm>
          <a:off x="12449735" y="14478000"/>
          <a:ext cx="1547451" cy="2252382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1</xdr:colOff>
      <xdr:row>52</xdr:row>
      <xdr:rowOff>6350</xdr:rowOff>
    </xdr:from>
    <xdr:to>
      <xdr:col>16</xdr:col>
      <xdr:colOff>774019</xdr:colOff>
      <xdr:row>55</xdr:row>
      <xdr:rowOff>0</xdr:rowOff>
    </xdr:to>
    <xdr:cxnSp macro="">
      <xdr:nvCxnSpPr>
        <xdr:cNvPr id="95" name="カギ線コネクタ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CxnSpPr>
          <a:stCxn id="93" idx="0"/>
          <a:endCxn id="92" idx="2"/>
        </xdr:cNvCxnSpPr>
      </xdr:nvCxnSpPr>
      <xdr:spPr>
        <a:xfrm rot="5400000" flipH="1" flipV="1">
          <a:off x="10568328" y="12134737"/>
          <a:ext cx="687614" cy="4652054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774019</xdr:colOff>
      <xdr:row>52</xdr:row>
      <xdr:rowOff>6350</xdr:rowOff>
    </xdr:from>
    <xdr:to>
      <xdr:col>17</xdr:col>
      <xdr:colOff>388323</xdr:colOff>
      <xdr:row>55</xdr:row>
      <xdr:rowOff>0</xdr:rowOff>
    </xdr:to>
    <xdr:cxnSp macro="">
      <xdr:nvCxnSpPr>
        <xdr:cNvPr id="98" name="カギ線コネクタ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CxnSpPr>
          <a:stCxn id="94" idx="0"/>
          <a:endCxn id="92" idx="2"/>
        </xdr:cNvCxnSpPr>
      </xdr:nvCxnSpPr>
      <xdr:spPr>
        <a:xfrm rot="16200000" flipV="1">
          <a:off x="13089311" y="14265808"/>
          <a:ext cx="687614" cy="389911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221182</xdr:colOff>
      <xdr:row>47</xdr:row>
      <xdr:rowOff>0</xdr:rowOff>
    </xdr:from>
    <xdr:to>
      <xdr:col>25</xdr:col>
      <xdr:colOff>0</xdr:colOff>
      <xdr:row>52</xdr:row>
      <xdr:rowOff>0</xdr:rowOff>
    </xdr:to>
    <xdr:sp macro="" textlink="">
      <xdr:nvSpPr>
        <xdr:cNvPr id="101" name="テキスト ボックス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15787753" y="12954000"/>
          <a:ext cx="4296390" cy="1156607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必要に応じて、使用時間の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をお願いする場合や、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19</xdr:col>
      <xdr:colOff>381000</xdr:colOff>
      <xdr:row>49</xdr:row>
      <xdr:rowOff>115661</xdr:rowOff>
    </xdr:from>
    <xdr:to>
      <xdr:col>20</xdr:col>
      <xdr:colOff>221182</xdr:colOff>
      <xdr:row>50</xdr:row>
      <xdr:rowOff>174398</xdr:rowOff>
    </xdr:to>
    <xdr:cxnSp macro="">
      <xdr:nvCxnSpPr>
        <xdr:cNvPr id="106" name="カギ線コネクタ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CxnSpPr>
          <a:stCxn id="92" idx="1"/>
          <a:endCxn id="101" idx="1"/>
        </xdr:cNvCxnSpPr>
      </xdr:nvCxnSpPr>
      <xdr:spPr>
        <a:xfrm flipV="1">
          <a:off x="15171964" y="13532304"/>
          <a:ext cx="615789" cy="290058"/>
        </a:xfrm>
        <a:prstGeom prst="bentConnector3">
          <a:avLst>
            <a:gd name="adj1" fmla="val 50000"/>
          </a:avLst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771070</xdr:colOff>
      <xdr:row>63</xdr:row>
      <xdr:rowOff>235856</xdr:rowOff>
    </xdr:from>
    <xdr:to>
      <xdr:col>32</xdr:col>
      <xdr:colOff>771069</xdr:colOff>
      <xdr:row>66</xdr:row>
      <xdr:rowOff>226784</xdr:rowOff>
    </xdr:to>
    <xdr:sp macro="" textlink="">
      <xdr:nvSpPr>
        <xdr:cNvPr id="129" name="角丸四角形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/>
      </xdr:nvSpPr>
      <xdr:spPr>
        <a:xfrm flipH="1">
          <a:off x="21508356" y="16301356"/>
          <a:ext cx="5397499" cy="680357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■型番、定格能力、定格消費電力、定格消費</a:t>
          </a:r>
          <a:r>
            <a:rPr kumimoji="1" lang="ja-JP" altLang="en-US" sz="1100" b="0">
              <a:solidFill>
                <a:sysClr val="windowText" lastClr="000000"/>
              </a:solidFill>
            </a:rPr>
            <a:t>ガス量：仕様書に基づいた型番・値</a:t>
          </a:r>
          <a:endParaRPr kumimoji="1" lang="en-US" altLang="ja-JP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0</xdr:colOff>
      <xdr:row>55</xdr:row>
      <xdr:rowOff>0</xdr:rowOff>
    </xdr:from>
    <xdr:to>
      <xdr:col>24</xdr:col>
      <xdr:colOff>0</xdr:colOff>
      <xdr:row>62</xdr:row>
      <xdr:rowOff>1</xdr:rowOff>
    </xdr:to>
    <xdr:sp macro="" textlink="">
      <xdr:nvSpPr>
        <xdr:cNvPr id="136" name="角丸四角形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/>
      </xdr:nvSpPr>
      <xdr:spPr>
        <a:xfrm>
          <a:off x="17088971" y="14478000"/>
          <a:ext cx="1423147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0</xdr:colOff>
      <xdr:row>54</xdr:row>
      <xdr:rowOff>0</xdr:rowOff>
    </xdr:from>
    <xdr:to>
      <xdr:col>33</xdr:col>
      <xdr:colOff>0</xdr:colOff>
      <xdr:row>62</xdr:row>
      <xdr:rowOff>1</xdr:rowOff>
    </xdr:to>
    <xdr:sp macro="" textlink="">
      <xdr:nvSpPr>
        <xdr:cNvPr id="137" name="角丸四角形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/>
      </xdr:nvSpPr>
      <xdr:spPr>
        <a:xfrm>
          <a:off x="21604941" y="14253882"/>
          <a:ext cx="4639235" cy="247650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709613</xdr:colOff>
      <xdr:row>62</xdr:row>
      <xdr:rowOff>1</xdr:rowOff>
    </xdr:from>
    <xdr:to>
      <xdr:col>29</xdr:col>
      <xdr:colOff>388482</xdr:colOff>
      <xdr:row>64</xdr:row>
      <xdr:rowOff>906</xdr:rowOff>
    </xdr:to>
    <xdr:cxnSp macro="">
      <xdr:nvCxnSpPr>
        <xdr:cNvPr id="138" name="カギ線コネクタ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CxnSpPr>
          <a:stCxn id="136" idx="2"/>
          <a:endCxn id="129" idx="0"/>
        </xdr:cNvCxnSpPr>
      </xdr:nvCxnSpPr>
      <xdr:spPr>
        <a:xfrm rot="16200000" flipH="1">
          <a:off x="20779695" y="15877269"/>
          <a:ext cx="467630" cy="4965244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387641</xdr:colOff>
      <xdr:row>62</xdr:row>
      <xdr:rowOff>2</xdr:rowOff>
    </xdr:from>
    <xdr:to>
      <xdr:col>30</xdr:col>
      <xdr:colOff>0</xdr:colOff>
      <xdr:row>64</xdr:row>
      <xdr:rowOff>3708</xdr:rowOff>
    </xdr:to>
    <xdr:cxnSp macro="">
      <xdr:nvCxnSpPr>
        <xdr:cNvPr id="145" name="カギ線コネクタ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CxnSpPr>
          <a:stCxn id="137" idx="2"/>
          <a:endCxn id="129" idx="0"/>
        </xdr:cNvCxnSpPr>
      </xdr:nvCxnSpPr>
      <xdr:spPr>
        <a:xfrm rot="5400000">
          <a:off x="23500203" y="16769175"/>
          <a:ext cx="463148" cy="385565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9071</xdr:colOff>
      <xdr:row>75</xdr:row>
      <xdr:rowOff>0</xdr:rowOff>
    </xdr:from>
    <xdr:to>
      <xdr:col>22</xdr:col>
      <xdr:colOff>0</xdr:colOff>
      <xdr:row>79</xdr:row>
      <xdr:rowOff>18142</xdr:rowOff>
    </xdr:to>
    <xdr:sp macro="" textlink="">
      <xdr:nvSpPr>
        <xdr:cNvPr id="148" name="テキスト ボックス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14078857" y="18805071"/>
          <a:ext cx="3846286" cy="92528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■算定には定格の値を用いてください</a:t>
          </a:r>
          <a:endParaRPr kumimoji="1" lang="en-US" altLang="ja-JP" sz="1100"/>
        </a:p>
        <a:p>
          <a:r>
            <a:rPr kumimoji="1" lang="en-US" altLang="ja-JP" sz="1100"/>
            <a:t>※</a:t>
          </a:r>
          <a:r>
            <a:rPr kumimoji="1" lang="ja-JP" altLang="en-US" sz="1100"/>
            <a:t>最大・中間・最低能力、低温能力など、</a:t>
          </a:r>
          <a:r>
            <a:rPr kumimoji="1" lang="ja-JP" altLang="en-US" sz="1100" b="1"/>
            <a:t>定格以外の能力は用いない</a:t>
          </a:r>
          <a:r>
            <a:rPr kumimoji="1" lang="ja-JP" altLang="en-US" sz="1100"/>
            <a:t>でください。</a:t>
          </a:r>
          <a:endParaRPr kumimoji="1" lang="en-US" altLang="ja-JP" sz="1100"/>
        </a:p>
      </xdr:txBody>
    </xdr:sp>
    <xdr:clientData/>
  </xdr:twoCellAnchor>
  <xdr:twoCellAnchor>
    <xdr:from>
      <xdr:col>19</xdr:col>
      <xdr:colOff>390071</xdr:colOff>
      <xdr:row>73</xdr:row>
      <xdr:rowOff>45284</xdr:rowOff>
    </xdr:from>
    <xdr:to>
      <xdr:col>20</xdr:col>
      <xdr:colOff>171115</xdr:colOff>
      <xdr:row>75</xdr:row>
      <xdr:rowOff>1</xdr:rowOff>
    </xdr:to>
    <xdr:cxnSp macro="">
      <xdr:nvCxnSpPr>
        <xdr:cNvPr id="149" name="カギ線コネクタ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CxnSpPr>
          <a:stCxn id="163" idx="4"/>
          <a:endCxn id="148" idx="0"/>
        </xdr:cNvCxnSpPr>
      </xdr:nvCxnSpPr>
      <xdr:spPr>
        <a:xfrm rot="5400000">
          <a:off x="16073914" y="18324870"/>
          <a:ext cx="408288" cy="552115"/>
        </a:xfrm>
        <a:prstGeom prst="bentConnector3">
          <a:avLst>
            <a:gd name="adj1" fmla="val 50000"/>
          </a:avLst>
        </a:prstGeom>
        <a:ln w="38100">
          <a:solidFill>
            <a:srgbClr val="0070C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385534</xdr:colOff>
      <xdr:row>66</xdr:row>
      <xdr:rowOff>226783</xdr:rowOff>
    </xdr:from>
    <xdr:to>
      <xdr:col>30</xdr:col>
      <xdr:colOff>444499</xdr:colOff>
      <xdr:row>70</xdr:row>
      <xdr:rowOff>0</xdr:rowOff>
    </xdr:to>
    <xdr:cxnSp macro="">
      <xdr:nvCxnSpPr>
        <xdr:cNvPr id="158" name="カギ線コネクタ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CxnSpPr>
          <a:stCxn id="129" idx="2"/>
          <a:endCxn id="159" idx="0"/>
        </xdr:cNvCxnSpPr>
      </xdr:nvCxnSpPr>
      <xdr:spPr>
        <a:xfrm rot="16200000" flipH="1">
          <a:off x="24281944" y="16906873"/>
          <a:ext cx="680359" cy="830037"/>
        </a:xfrm>
        <a:prstGeom prst="bentConnector3">
          <a:avLst>
            <a:gd name="adj1" fmla="val 50000"/>
          </a:avLst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0</xdr:colOff>
      <xdr:row>70</xdr:row>
      <xdr:rowOff>1</xdr:rowOff>
    </xdr:from>
    <xdr:to>
      <xdr:col>33</xdr:col>
      <xdr:colOff>117928</xdr:colOff>
      <xdr:row>74</xdr:row>
      <xdr:rowOff>0</xdr:rowOff>
    </xdr:to>
    <xdr:sp macro="" textlink="">
      <xdr:nvSpPr>
        <xdr:cNvPr id="159" name="角丸四角形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/>
      </xdr:nvSpPr>
      <xdr:spPr>
        <a:xfrm flipH="1">
          <a:off x="23050500" y="17662072"/>
          <a:ext cx="3973285" cy="916214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0070C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734786</xdr:colOff>
      <xdr:row>64</xdr:row>
      <xdr:rowOff>208642</xdr:rowOff>
    </xdr:from>
    <xdr:to>
      <xdr:col>21</xdr:col>
      <xdr:colOff>19039</xdr:colOff>
      <xdr:row>66</xdr:row>
      <xdr:rowOff>26851</xdr:rowOff>
    </xdr:to>
    <xdr:sp macro="" textlink="">
      <xdr:nvSpPr>
        <xdr:cNvPr id="161" name="正方形/長方形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/>
      </xdr:nvSpPr>
      <xdr:spPr>
        <a:xfrm>
          <a:off x="24556357" y="16509999"/>
          <a:ext cx="826396" cy="271781"/>
        </a:xfrm>
        <a:prstGeom prst="rect">
          <a:avLst/>
        </a:prstGeom>
        <a:noFill/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725714</xdr:colOff>
      <xdr:row>66</xdr:row>
      <xdr:rowOff>208642</xdr:rowOff>
    </xdr:from>
    <xdr:to>
      <xdr:col>20</xdr:col>
      <xdr:colOff>362857</xdr:colOff>
      <xdr:row>71</xdr:row>
      <xdr:rowOff>36286</xdr:rowOff>
    </xdr:to>
    <xdr:sp macro="" textlink="">
      <xdr:nvSpPr>
        <xdr:cNvPr id="162" name="正方形/長方形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/>
      </xdr:nvSpPr>
      <xdr:spPr>
        <a:xfrm>
          <a:off x="24547285" y="16963571"/>
          <a:ext cx="408215" cy="961572"/>
        </a:xfrm>
        <a:prstGeom prst="rect">
          <a:avLst/>
        </a:prstGeom>
        <a:noFill/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707572</xdr:colOff>
      <xdr:row>71</xdr:row>
      <xdr:rowOff>1</xdr:rowOff>
    </xdr:from>
    <xdr:to>
      <xdr:col>20</xdr:col>
      <xdr:colOff>405729</xdr:colOff>
      <xdr:row>73</xdr:row>
      <xdr:rowOff>45283</xdr:rowOff>
    </xdr:to>
    <xdr:sp macro="" textlink="">
      <xdr:nvSpPr>
        <xdr:cNvPr id="163" name="楕円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/>
      </xdr:nvSpPr>
      <xdr:spPr>
        <a:xfrm>
          <a:off x="24529143" y="17888858"/>
          <a:ext cx="469229" cy="507925"/>
        </a:xfrm>
        <a:prstGeom prst="ellipse">
          <a:avLst/>
        </a:prstGeom>
        <a:noFill/>
        <a:ln w="28575"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15</xdr:col>
      <xdr:colOff>768349</xdr:colOff>
      <xdr:row>69</xdr:row>
      <xdr:rowOff>8164</xdr:rowOff>
    </xdr:from>
    <xdr:to>
      <xdr:col>19</xdr:col>
      <xdr:colOff>725714</xdr:colOff>
      <xdr:row>69</xdr:row>
      <xdr:rowOff>117475</xdr:rowOff>
    </xdr:to>
    <xdr:cxnSp macro="">
      <xdr:nvCxnSpPr>
        <xdr:cNvPr id="164" name="カギ線コネクタ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CxnSpPr>
          <a:stCxn id="79" idx="1"/>
          <a:endCxn id="162" idx="1"/>
        </xdr:cNvCxnSpPr>
      </xdr:nvCxnSpPr>
      <xdr:spPr>
        <a:xfrm flipV="1">
          <a:off x="12490449" y="17654814"/>
          <a:ext cx="3030765" cy="109311"/>
        </a:xfrm>
        <a:prstGeom prst="bentConnector3">
          <a:avLst>
            <a:gd name="adj1" fmla="val 50000"/>
          </a:avLst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768349</xdr:colOff>
      <xdr:row>65</xdr:row>
      <xdr:rowOff>117747</xdr:rowOff>
    </xdr:from>
    <xdr:to>
      <xdr:col>19</xdr:col>
      <xdr:colOff>734786</xdr:colOff>
      <xdr:row>69</xdr:row>
      <xdr:rowOff>117475</xdr:rowOff>
    </xdr:to>
    <xdr:cxnSp macro="">
      <xdr:nvCxnSpPr>
        <xdr:cNvPr id="172" name="カギ線コネクタ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CxnSpPr>
          <a:stCxn id="79" idx="1"/>
          <a:endCxn id="161" idx="1"/>
        </xdr:cNvCxnSpPr>
      </xdr:nvCxnSpPr>
      <xdr:spPr>
        <a:xfrm flipV="1">
          <a:off x="12490449" y="16849997"/>
          <a:ext cx="3039837" cy="914128"/>
        </a:xfrm>
        <a:prstGeom prst="bentConnector3">
          <a:avLst>
            <a:gd name="adj1" fmla="val 6537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654051</xdr:colOff>
      <xdr:row>63</xdr:row>
      <xdr:rowOff>84364</xdr:rowOff>
    </xdr:from>
    <xdr:to>
      <xdr:col>22</xdr:col>
      <xdr:colOff>114301</xdr:colOff>
      <xdr:row>73</xdr:row>
      <xdr:rowOff>154214</xdr:rowOff>
    </xdr:to>
    <xdr:sp macro="" textlink="">
      <xdr:nvSpPr>
        <xdr:cNvPr id="184" name="角丸四角形 18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/>
      </xdr:nvSpPr>
      <xdr:spPr>
        <a:xfrm>
          <a:off x="13074651" y="18439039"/>
          <a:ext cx="4089400" cy="2374900"/>
        </a:xfrm>
        <a:prstGeom prst="round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22</xdr:col>
      <xdr:colOff>114301</xdr:colOff>
      <xdr:row>68</xdr:row>
      <xdr:rowOff>119289</xdr:rowOff>
    </xdr:from>
    <xdr:to>
      <xdr:col>24</xdr:col>
      <xdr:colOff>234241</xdr:colOff>
      <xdr:row>70</xdr:row>
      <xdr:rowOff>18144</xdr:rowOff>
    </xdr:to>
    <xdr:cxnSp macro="">
      <xdr:nvCxnSpPr>
        <xdr:cNvPr id="185" name="カギ線コネクタ 18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CxnSpPr>
          <a:stCxn id="184" idx="3"/>
          <a:endCxn id="80" idx="0"/>
        </xdr:cNvCxnSpPr>
      </xdr:nvCxnSpPr>
      <xdr:spPr>
        <a:xfrm>
          <a:off x="17164051" y="19626489"/>
          <a:ext cx="2310690" cy="356055"/>
        </a:xfrm>
        <a:prstGeom prst="bentConnector2">
          <a:avLst/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10</xdr:row>
      <xdr:rowOff>222249</xdr:rowOff>
    </xdr:from>
    <xdr:to>
      <xdr:col>7</xdr:col>
      <xdr:colOff>752475</xdr:colOff>
      <xdr:row>14</xdr:row>
      <xdr:rowOff>222249</xdr:rowOff>
    </xdr:to>
    <xdr:sp macro="" textlink="">
      <xdr:nvSpPr>
        <xdr:cNvPr id="224" name="テキスト ボックス 22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 txBox="1"/>
      </xdr:nvSpPr>
      <xdr:spPr>
        <a:xfrm>
          <a:off x="269875" y="2873374"/>
          <a:ext cx="5975350" cy="90487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15</xdr:col>
      <xdr:colOff>417284</xdr:colOff>
      <xdr:row>16</xdr:row>
      <xdr:rowOff>225613</xdr:rowOff>
    </xdr:to>
    <xdr:grpSp>
      <xdr:nvGrpSpPr>
        <xdr:cNvPr id="225" name="グループ化 224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GrpSpPr/>
      </xdr:nvGrpSpPr>
      <xdr:grpSpPr>
        <a:xfrm>
          <a:off x="8586107" y="3741964"/>
          <a:ext cx="3519713" cy="715470"/>
          <a:chOff x="7808258" y="2518207"/>
          <a:chExt cx="2783012" cy="628408"/>
        </a:xfrm>
      </xdr:grpSpPr>
      <xdr:grpSp>
        <xdr:nvGrpSpPr>
          <xdr:cNvPr id="226" name="グループ化 225">
            <a:extLst>
              <a:ext uri="{FF2B5EF4-FFF2-40B4-BE49-F238E27FC236}">
                <a16:creationId xmlns:a16="http://schemas.microsoft.com/office/drawing/2014/main" id="{00000000-0008-0000-0200-0000E2000000}"/>
              </a:ext>
            </a:extLst>
          </xdr:cNvPr>
          <xdr:cNvGrpSpPr/>
        </xdr:nvGrpSpPr>
        <xdr:grpSpPr>
          <a:xfrm>
            <a:off x="7808258" y="2518207"/>
            <a:ext cx="2783012" cy="628408"/>
            <a:chOff x="17123228" y="2975964"/>
            <a:chExt cx="2793020" cy="616323"/>
          </a:xfrm>
        </xdr:grpSpPr>
        <xdr:sp macro="" textlink="">
          <xdr:nvSpPr>
            <xdr:cNvPr id="228" name="テキスト ボックス 227">
              <a:extLst>
                <a:ext uri="{FF2B5EF4-FFF2-40B4-BE49-F238E27FC236}">
                  <a16:creationId xmlns:a16="http://schemas.microsoft.com/office/drawing/2014/main" id="{00000000-0008-0000-0200-0000E4000000}"/>
                </a:ext>
              </a:extLst>
            </xdr:cNvPr>
            <xdr:cNvSpPr txBox="1"/>
          </xdr:nvSpPr>
          <xdr:spPr>
            <a:xfrm>
              <a:off x="17123228" y="2975964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229" name="テキスト ボックス 228">
              <a:extLst>
                <a:ext uri="{FF2B5EF4-FFF2-40B4-BE49-F238E27FC236}">
                  <a16:creationId xmlns:a16="http://schemas.microsoft.com/office/drawing/2014/main" id="{00000000-0008-0000-0200-0000E5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230" name="テキスト ボックス 229">
              <a:extLst>
                <a:ext uri="{FF2B5EF4-FFF2-40B4-BE49-F238E27FC236}">
                  <a16:creationId xmlns:a16="http://schemas.microsoft.com/office/drawing/2014/main" id="{00000000-0008-0000-0200-0000E6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227" name="テキスト ボックス 226">
            <a:extLst>
              <a:ext uri="{FF2B5EF4-FFF2-40B4-BE49-F238E27FC236}">
                <a16:creationId xmlns:a16="http://schemas.microsoft.com/office/drawing/2014/main" id="{00000000-0008-0000-0200-0000E3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10</xdr:col>
      <xdr:colOff>611868</xdr:colOff>
      <xdr:row>46</xdr:row>
      <xdr:rowOff>81643</xdr:rowOff>
    </xdr:from>
    <xdr:to>
      <xdr:col>14</xdr:col>
      <xdr:colOff>122464</xdr:colOff>
      <xdr:row>51</xdr:row>
      <xdr:rowOff>179162</xdr:rowOff>
    </xdr:to>
    <xdr:sp macro="" textlink="">
      <xdr:nvSpPr>
        <xdr:cNvPr id="61" name="角丸四角形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/>
      </xdr:nvSpPr>
      <xdr:spPr>
        <a:xfrm flipH="1">
          <a:off x="8422368" y="12804322"/>
          <a:ext cx="2613025" cy="1254126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■負荷率：参考値（年間一律</a:t>
          </a:r>
          <a:r>
            <a:rPr kumimoji="1" lang="en-US" altLang="ja-JP" sz="1100">
              <a:solidFill>
                <a:sysClr val="windowText" lastClr="000000"/>
              </a:solidFill>
            </a:rPr>
            <a:t>40</a:t>
          </a:r>
          <a:r>
            <a:rPr kumimoji="1" lang="ja-JP" altLang="en-US" sz="1100">
              <a:solidFill>
                <a:sysClr val="windowText" lastClr="000000"/>
              </a:solidFill>
            </a:rPr>
            <a:t>％）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変更する場合は、根拠となる資料（省エネ診断報告書等）の提出が必要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0</xdr:colOff>
      <xdr:row>51</xdr:row>
      <xdr:rowOff>231320</xdr:rowOff>
    </xdr:from>
    <xdr:to>
      <xdr:col>10</xdr:col>
      <xdr:colOff>0</xdr:colOff>
      <xdr:row>53</xdr:row>
      <xdr:rowOff>0</xdr:rowOff>
    </xdr:to>
    <xdr:sp macro="" textlink="">
      <xdr:nvSpPr>
        <xdr:cNvPr id="62" name="角丸四角形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/>
      </xdr:nvSpPr>
      <xdr:spPr>
        <a:xfrm>
          <a:off x="6259286" y="14110606"/>
          <a:ext cx="1551214" cy="23132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0</xdr:colOff>
      <xdr:row>49</xdr:row>
      <xdr:rowOff>14741</xdr:rowOff>
    </xdr:from>
    <xdr:to>
      <xdr:col>10</xdr:col>
      <xdr:colOff>611868</xdr:colOff>
      <xdr:row>52</xdr:row>
      <xdr:rowOff>115660</xdr:rowOff>
    </xdr:to>
    <xdr:cxnSp macro="">
      <xdr:nvCxnSpPr>
        <xdr:cNvPr id="63" name="カギ線コネクタ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CxnSpPr>
          <a:stCxn id="61" idx="3"/>
          <a:endCxn id="62" idx="3"/>
        </xdr:cNvCxnSpPr>
      </xdr:nvCxnSpPr>
      <xdr:spPr>
        <a:xfrm rot="10800000" flipV="1">
          <a:off x="7810500" y="13431384"/>
          <a:ext cx="611868" cy="794883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0</xdr:colOff>
      <xdr:row>13</xdr:row>
      <xdr:rowOff>-1</xdr:rowOff>
    </xdr:from>
    <xdr:to>
      <xdr:col>41</xdr:col>
      <xdr:colOff>0</xdr:colOff>
      <xdr:row>13</xdr:row>
      <xdr:rowOff>231320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1A28BD-F668-4F0A-BBA9-B3A44DFEB387}"/>
            </a:ext>
          </a:extLst>
        </xdr:cNvPr>
        <xdr:cNvSpPr txBox="1"/>
      </xdr:nvSpPr>
      <xdr:spPr>
        <a:xfrm>
          <a:off x="24737786" y="3401785"/>
          <a:ext cx="7756071" cy="231321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更新前冷暖房：年間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燃料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消費量＝定格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燃料消費量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台数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年間使用時間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×860÷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ガス体積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老朽化消費倍率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endParaRPr lang="ja-JP" altLang="ja-JP" sz="1050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0</xdr:colOff>
      <xdr:row>10</xdr:row>
      <xdr:rowOff>229913</xdr:rowOff>
    </xdr:from>
    <xdr:to>
      <xdr:col>41</xdr:col>
      <xdr:colOff>0</xdr:colOff>
      <xdr:row>11</xdr:row>
      <xdr:rowOff>229913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26FB42D-A2B6-4BF6-83F4-284BA1ECACD5}"/>
            </a:ext>
          </a:extLst>
        </xdr:cNvPr>
        <xdr:cNvSpPr txBox="1"/>
      </xdr:nvSpPr>
      <xdr:spPr>
        <a:xfrm>
          <a:off x="24574500" y="2929758"/>
          <a:ext cx="7685690" cy="229914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(%)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＝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（申請年度－更新前設備導入年度）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×0.02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1)×100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1</xdr:colOff>
      <xdr:row>16</xdr:row>
      <xdr:rowOff>0</xdr:rowOff>
    </xdr:from>
    <xdr:to>
      <xdr:col>41</xdr:col>
      <xdr:colOff>0</xdr:colOff>
      <xdr:row>17</xdr:row>
      <xdr:rowOff>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6D48304-83A1-49DA-9FCE-99F15EF54979}"/>
            </a:ext>
          </a:extLst>
        </xdr:cNvPr>
        <xdr:cNvSpPr txBox="1"/>
      </xdr:nvSpPr>
      <xdr:spPr>
        <a:xfrm>
          <a:off x="26244177" y="4022912"/>
          <a:ext cx="7575176" cy="22411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eaLnBrk="1" fontAlgn="auto" latinLnBrk="0" hangingPunct="1"/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(tCO2)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＝年間消費電力量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×CO2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＋年間燃料消費量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×CO2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endParaRPr lang="ja-JP" altLang="ja-JP" sz="1050">
            <a:effectLst/>
          </a:endParaRPr>
        </a:p>
      </xdr:txBody>
    </xdr:sp>
    <xdr:clientData/>
  </xdr:twoCellAnchor>
  <xdr:twoCellAnchor>
    <xdr:from>
      <xdr:col>31</xdr:col>
      <xdr:colOff>0</xdr:colOff>
      <xdr:row>14</xdr:row>
      <xdr:rowOff>1</xdr:rowOff>
    </xdr:from>
    <xdr:to>
      <xdr:col>41</xdr:col>
      <xdr:colOff>0</xdr:colOff>
      <xdr:row>15</xdr:row>
      <xdr:rowOff>1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48D6CC43-7D69-451D-B283-B6FF038F7CD6}"/>
            </a:ext>
          </a:extLst>
        </xdr:cNvPr>
        <xdr:cNvSpPr txBox="1"/>
      </xdr:nvSpPr>
      <xdr:spPr>
        <a:xfrm>
          <a:off x="24737786" y="3633108"/>
          <a:ext cx="7756071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更新後冷暖房：年間電力消費量＝定格消費電力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0</xdr:colOff>
      <xdr:row>15</xdr:row>
      <xdr:rowOff>1</xdr:rowOff>
    </xdr:from>
    <xdr:to>
      <xdr:col>41</xdr:col>
      <xdr:colOff>0</xdr:colOff>
      <xdr:row>16</xdr:row>
      <xdr:rowOff>2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B16E1F6-0555-4BD1-8E90-69646583E29F}"/>
            </a:ext>
          </a:extLst>
        </xdr:cNvPr>
        <xdr:cNvSpPr txBox="1"/>
      </xdr:nvSpPr>
      <xdr:spPr>
        <a:xfrm>
          <a:off x="24737786" y="3864430"/>
          <a:ext cx="7756071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更新後冷暖房：年間燃料消費量＝定格燃料消費量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×860÷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ガス体積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31</xdr:col>
      <xdr:colOff>0</xdr:colOff>
      <xdr:row>12</xdr:row>
      <xdr:rowOff>0</xdr:rowOff>
    </xdr:from>
    <xdr:to>
      <xdr:col>41</xdr:col>
      <xdr:colOff>0</xdr:colOff>
      <xdr:row>13</xdr:row>
      <xdr:rowOff>0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4DEA9B1E-7981-4B1B-ADCE-96E14B4922E7}"/>
            </a:ext>
          </a:extLst>
        </xdr:cNvPr>
        <xdr:cNvSpPr txBox="1"/>
      </xdr:nvSpPr>
      <xdr:spPr>
        <a:xfrm>
          <a:off x="24737786" y="3170464"/>
          <a:ext cx="7756071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更新前冷暖房：年間電力消費量＝定格消費電力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8</xdr:col>
      <xdr:colOff>0</xdr:colOff>
      <xdr:row>45</xdr:row>
      <xdr:rowOff>0</xdr:rowOff>
    </xdr:from>
    <xdr:to>
      <xdr:col>10</xdr:col>
      <xdr:colOff>0</xdr:colOff>
      <xdr:row>49</xdr:row>
      <xdr:rowOff>0</xdr:rowOff>
    </xdr:to>
    <xdr:sp macro="" textlink="">
      <xdr:nvSpPr>
        <xdr:cNvPr id="64" name="角丸四角形 61">
          <a:extLst>
            <a:ext uri="{FF2B5EF4-FFF2-40B4-BE49-F238E27FC236}">
              <a16:creationId xmlns:a16="http://schemas.microsoft.com/office/drawing/2014/main" id="{77ED8ACB-9B26-4FB8-84D9-63444123851B}"/>
            </a:ext>
          </a:extLst>
        </xdr:cNvPr>
        <xdr:cNvSpPr/>
      </xdr:nvSpPr>
      <xdr:spPr>
        <a:xfrm>
          <a:off x="6259286" y="12491357"/>
          <a:ext cx="1551214" cy="92528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373741</xdr:colOff>
      <xdr:row>47</xdr:row>
      <xdr:rowOff>0</xdr:rowOff>
    </xdr:from>
    <xdr:to>
      <xdr:col>8</xdr:col>
      <xdr:colOff>1</xdr:colOff>
      <xdr:row>47</xdr:row>
      <xdr:rowOff>20410</xdr:rowOff>
    </xdr:to>
    <xdr:cxnSp macro="">
      <xdr:nvCxnSpPr>
        <xdr:cNvPr id="78" name="カギ線コネクタ 62">
          <a:extLst>
            <a:ext uri="{FF2B5EF4-FFF2-40B4-BE49-F238E27FC236}">
              <a16:creationId xmlns:a16="http://schemas.microsoft.com/office/drawing/2014/main" id="{6C795A08-E824-4E1F-9B5C-2772AA7F16E5}"/>
            </a:ext>
          </a:extLst>
        </xdr:cNvPr>
        <xdr:cNvCxnSpPr>
          <a:stCxn id="64" idx="1"/>
          <a:endCxn id="87" idx="1"/>
        </xdr:cNvCxnSpPr>
      </xdr:nvCxnSpPr>
      <xdr:spPr>
        <a:xfrm rot="10800000" flipV="1">
          <a:off x="5857420" y="12954000"/>
          <a:ext cx="401867" cy="20410"/>
        </a:xfrm>
        <a:prstGeom prst="bentConnector3">
          <a:avLst>
            <a:gd name="adj1" fmla="val 50000"/>
          </a:avLst>
        </a:prstGeom>
        <a:ln w="28575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588280</xdr:colOff>
      <xdr:row>44</xdr:row>
      <xdr:rowOff>231320</xdr:rowOff>
    </xdr:from>
    <xdr:to>
      <xdr:col>7</xdr:col>
      <xdr:colOff>373740</xdr:colOff>
      <xdr:row>49</xdr:row>
      <xdr:rowOff>40821</xdr:rowOff>
    </xdr:to>
    <xdr:sp macro="" textlink="">
      <xdr:nvSpPr>
        <xdr:cNvPr id="87" name="角丸四角形 60">
          <a:extLst>
            <a:ext uri="{FF2B5EF4-FFF2-40B4-BE49-F238E27FC236}">
              <a16:creationId xmlns:a16="http://schemas.microsoft.com/office/drawing/2014/main" id="{6E0B5587-5EEE-4436-821E-A3A08A5C94A9}"/>
            </a:ext>
          </a:extLst>
        </xdr:cNvPr>
        <xdr:cNvSpPr/>
      </xdr:nvSpPr>
      <xdr:spPr>
        <a:xfrm flipH="1">
          <a:off x="2969530" y="12491356"/>
          <a:ext cx="2887889" cy="966108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en-US" altLang="ja-JP" sz="1100">
              <a:solidFill>
                <a:sysClr val="windowText" lastClr="000000"/>
              </a:solidFill>
            </a:rPr>
            <a:t>kcal→kW</a:t>
          </a:r>
          <a:r>
            <a:rPr kumimoji="1" lang="ja-JP" altLang="en-US" sz="1100">
              <a:solidFill>
                <a:sysClr val="windowText" lastClr="000000"/>
              </a:solidFill>
            </a:rPr>
            <a:t>換算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</a:rPr>
            <a:t>古い機種で、定格能力等が</a:t>
          </a:r>
          <a:r>
            <a:rPr kumimoji="1" lang="en-US" altLang="ja-JP" sz="1100">
              <a:solidFill>
                <a:sysClr val="windowText" lastClr="000000"/>
              </a:solidFill>
            </a:rPr>
            <a:t>kcal</a:t>
          </a:r>
          <a:r>
            <a:rPr kumimoji="1" lang="ja-JP" altLang="en-US" sz="1100">
              <a:solidFill>
                <a:sysClr val="windowText" lastClr="000000"/>
              </a:solidFill>
            </a:rPr>
            <a:t>の場合は、</a:t>
          </a:r>
          <a:r>
            <a:rPr kumimoji="1" lang="en-US" altLang="ja-JP" sz="1100">
              <a:solidFill>
                <a:sysClr val="windowText" lastClr="000000"/>
              </a:solidFill>
            </a:rPr>
            <a:t>kW</a:t>
          </a:r>
          <a:r>
            <a:rPr kumimoji="1" lang="ja-JP" altLang="en-US" sz="1100">
              <a:solidFill>
                <a:sysClr val="windowText" lastClr="000000"/>
              </a:solidFill>
            </a:rPr>
            <a:t>への換算が必要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9</xdr:row>
      <xdr:rowOff>0</xdr:rowOff>
    </xdr:from>
    <xdr:to>
      <xdr:col>22</xdr:col>
      <xdr:colOff>0</xdr:colOff>
      <xdr:row>10</xdr:row>
      <xdr:rowOff>0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8001000" y="2271059"/>
          <a:ext cx="7769412" cy="23158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エネルギーの削減に繋がらないため、定格能力の増加は原則認められません。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27</xdr:col>
      <xdr:colOff>361950</xdr:colOff>
      <xdr:row>10</xdr:row>
      <xdr:rowOff>237455</xdr:rowOff>
    </xdr:from>
    <xdr:to>
      <xdr:col>37</xdr:col>
      <xdr:colOff>0</xdr:colOff>
      <xdr:row>11</xdr:row>
      <xdr:rowOff>230604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22319582" y="2879389"/>
          <a:ext cx="6977313" cy="233781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更新前：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加熱式設備：年間燃料消費量＝定格燃料消費量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1-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経年劣化率）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13</xdr:row>
      <xdr:rowOff>0</xdr:rowOff>
    </xdr:from>
    <xdr:to>
      <xdr:col>37</xdr:col>
      <xdr:colOff>0</xdr:colOff>
      <xdr:row>13</xdr:row>
      <xdr:rowOff>228600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22298025" y="3324225"/>
          <a:ext cx="6972300" cy="2286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更新前：年間燃料消費量＝燃料消費量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劣化率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17</xdr:row>
      <xdr:rowOff>0</xdr:rowOff>
    </xdr:from>
    <xdr:to>
      <xdr:col>37</xdr:col>
      <xdr:colOff>0</xdr:colOff>
      <xdr:row>18</xdr:row>
      <xdr:rowOff>0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2319582" y="4276224"/>
          <a:ext cx="6977313" cy="23060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年間燃料消費量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×CO2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360947</xdr:colOff>
      <xdr:row>11</xdr:row>
      <xdr:rowOff>230604</xdr:rowOff>
    </xdr:from>
    <xdr:to>
      <xdr:col>37</xdr:col>
      <xdr:colOff>1680</xdr:colOff>
      <xdr:row>12</xdr:row>
      <xdr:rowOff>230604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22318579" y="3113170"/>
          <a:ext cx="6979996" cy="230605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更新前：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HP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設備：年間燃料消費量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＝定格燃料消費量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台数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年間使用時間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</a:t>
          </a:r>
          <a:r>
            <a:rPr lang="en-US" altLang="ja-JP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en-US" sz="105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老朽化消費倍率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0</xdr:colOff>
      <xdr:row>52</xdr:row>
      <xdr:rowOff>0</xdr:rowOff>
    </xdr:from>
    <xdr:to>
      <xdr:col>3</xdr:col>
      <xdr:colOff>0</xdr:colOff>
      <xdr:row>54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 flipH="1">
          <a:off x="276225" y="13306425"/>
          <a:ext cx="1943100" cy="45720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523875</xdr:colOff>
      <xdr:row>43</xdr:row>
      <xdr:rowOff>1</xdr:rowOff>
    </xdr:from>
    <xdr:to>
      <xdr:col>3</xdr:col>
      <xdr:colOff>0</xdr:colOff>
      <xdr:row>51</xdr:row>
      <xdr:rowOff>0</xdr:rowOff>
    </xdr:to>
    <xdr:sp macro="" textlink="">
      <xdr:nvSpPr>
        <xdr:cNvPr id="14" name="角丸四角形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>
          <a:off x="804022" y="10623177"/>
          <a:ext cx="1425949" cy="225238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448236</xdr:colOff>
      <xdr:row>50</xdr:row>
      <xdr:rowOff>224117</xdr:rowOff>
    </xdr:from>
    <xdr:to>
      <xdr:col>2</xdr:col>
      <xdr:colOff>710174</xdr:colOff>
      <xdr:row>51</xdr:row>
      <xdr:rowOff>224116</xdr:rowOff>
    </xdr:to>
    <xdr:cxnSp macro="">
      <xdr:nvCxnSpPr>
        <xdr:cNvPr id="16" name="カギ線コネクタ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CxnSpPr>
          <a:stCxn id="14" idx="2"/>
          <a:endCxn id="13" idx="0"/>
        </xdr:cNvCxnSpPr>
      </xdr:nvCxnSpPr>
      <xdr:spPr>
        <a:xfrm rot="5400000">
          <a:off x="1273970" y="12856648"/>
          <a:ext cx="224117" cy="261938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114299</xdr:colOff>
      <xdr:row>55</xdr:row>
      <xdr:rowOff>0</xdr:rowOff>
    </xdr:from>
    <xdr:to>
      <xdr:col>6</xdr:col>
      <xdr:colOff>678145</xdr:colOff>
      <xdr:row>65</xdr:row>
      <xdr:rowOff>0</xdr:rowOff>
    </xdr:to>
    <xdr:sp macro="" textlink="">
      <xdr:nvSpPr>
        <xdr:cNvPr id="18" name="角丸四角形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/>
      </xdr:nvSpPr>
      <xdr:spPr>
        <a:xfrm flipH="1">
          <a:off x="390524" y="13992225"/>
          <a:ext cx="5240621" cy="2286000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■設備種類：「ボイラー、給湯器（燃焼式）、給湯器（</a:t>
          </a:r>
          <a:r>
            <a:rPr kumimoji="1" lang="en-US" altLang="ja-JP" sz="1100">
              <a:solidFill>
                <a:sysClr val="windowText" lastClr="000000"/>
              </a:solidFill>
            </a:rPr>
            <a:t>HP</a:t>
          </a:r>
          <a:r>
            <a:rPr kumimoji="1" lang="ja-JP" altLang="en-US" sz="1100">
              <a:solidFill>
                <a:sysClr val="windowText" lastClr="000000"/>
              </a:solidFill>
            </a:rPr>
            <a:t>）」のいずれかを選択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■導入年度：「給湯器（</a:t>
          </a:r>
          <a:r>
            <a:rPr kumimoji="1" lang="en-US" altLang="ja-JP" sz="1100">
              <a:solidFill>
                <a:sysClr val="windowText" lastClr="000000"/>
              </a:solidFill>
            </a:rPr>
            <a:t>HP</a:t>
          </a:r>
          <a:r>
            <a:rPr kumimoji="1" lang="ja-JP" altLang="en-US" sz="1100">
              <a:solidFill>
                <a:sysClr val="windowText" lastClr="000000"/>
              </a:solidFill>
            </a:rPr>
            <a:t>）」の場合に導入年度を記載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・ボイラー、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給湯器（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燃焼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式）</a:t>
          </a:r>
          <a:r>
            <a:rPr kumimoji="1" lang="en-US" altLang="ja-JP" sz="1100">
              <a:solidFill>
                <a:sysClr val="windowText" lastClr="000000"/>
              </a:solidFill>
            </a:rPr>
            <a:t>…</a:t>
          </a:r>
          <a:r>
            <a:rPr kumimoji="1" lang="ja-JP" altLang="en-US" sz="1100">
              <a:solidFill>
                <a:sysClr val="windowText" lastClr="000000"/>
              </a:solidFill>
            </a:rPr>
            <a:t>燃料の燃焼等により加熱する方式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給湯器（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HP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kumimoji="1" lang="en-US" altLang="ja-JP" sz="1100">
              <a:solidFill>
                <a:sysClr val="windowText" lastClr="000000"/>
              </a:solidFill>
            </a:rPr>
            <a:t>…</a:t>
          </a:r>
          <a:r>
            <a:rPr kumimoji="1" lang="ja-JP" altLang="en-US" sz="1100">
              <a:solidFill>
                <a:sysClr val="windowText" lastClr="000000"/>
              </a:solidFill>
            </a:rPr>
            <a:t>ヒートポンプによる熱交換で得た熱を用いて加熱する方式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0</xdr:colOff>
      <xdr:row>43</xdr:row>
      <xdr:rowOff>0</xdr:rowOff>
    </xdr:from>
    <xdr:to>
      <xdr:col>6</xdr:col>
      <xdr:colOff>0</xdr:colOff>
      <xdr:row>50</xdr:row>
      <xdr:rowOff>224117</xdr:rowOff>
    </xdr:to>
    <xdr:sp macro="" textlink="">
      <xdr:nvSpPr>
        <xdr:cNvPr id="19" name="角丸四角形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/>
      </xdr:nvSpPr>
      <xdr:spPr>
        <a:xfrm>
          <a:off x="3003176" y="10623176"/>
          <a:ext cx="1961030" cy="225238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13636</xdr:colOff>
      <xdr:row>50</xdr:row>
      <xdr:rowOff>224116</xdr:rowOff>
    </xdr:from>
    <xdr:to>
      <xdr:col>4</xdr:col>
      <xdr:colOff>980516</xdr:colOff>
      <xdr:row>54</xdr:row>
      <xdr:rowOff>224116</xdr:rowOff>
    </xdr:to>
    <xdr:cxnSp macro="">
      <xdr:nvCxnSpPr>
        <xdr:cNvPr id="20" name="カギ線コネクタ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CxnSpPr>
          <a:stCxn id="19" idx="2"/>
          <a:endCxn id="18" idx="0"/>
        </xdr:cNvCxnSpPr>
      </xdr:nvCxnSpPr>
      <xdr:spPr>
        <a:xfrm rot="5400000">
          <a:off x="3052016" y="12840353"/>
          <a:ext cx="896471" cy="966880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342900</xdr:colOff>
      <xdr:row>51</xdr:row>
      <xdr:rowOff>215900</xdr:rowOff>
    </xdr:from>
    <xdr:to>
      <xdr:col>8</xdr:col>
      <xdr:colOff>17607</xdr:colOff>
      <xdr:row>54</xdr:row>
      <xdr:rowOff>78510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/>
      </xdr:nvSpPr>
      <xdr:spPr>
        <a:xfrm flipH="1">
          <a:off x="4524375" y="13293725"/>
          <a:ext cx="2408382" cy="548410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■燃料種類：仕様書等に基づいた燃料の種類を選択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9967</xdr:colOff>
      <xdr:row>43</xdr:row>
      <xdr:rowOff>0</xdr:rowOff>
    </xdr:from>
    <xdr:to>
      <xdr:col>7</xdr:col>
      <xdr:colOff>0</xdr:colOff>
      <xdr:row>51</xdr:row>
      <xdr:rowOff>0</xdr:rowOff>
    </xdr:to>
    <xdr:sp macro="" textlink="">
      <xdr:nvSpPr>
        <xdr:cNvPr id="31" name="角丸四角形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/>
      </xdr:nvSpPr>
      <xdr:spPr>
        <a:xfrm>
          <a:off x="4974173" y="10623176"/>
          <a:ext cx="1177856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598896</xdr:colOff>
      <xdr:row>50</xdr:row>
      <xdr:rowOff>224117</xdr:rowOff>
    </xdr:from>
    <xdr:to>
      <xdr:col>6</xdr:col>
      <xdr:colOff>774166</xdr:colOff>
      <xdr:row>51</xdr:row>
      <xdr:rowOff>219074</xdr:rowOff>
    </xdr:to>
    <xdr:cxnSp macro="">
      <xdr:nvCxnSpPr>
        <xdr:cNvPr id="32" name="カギ線コネクタ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CxnSpPr>
          <a:stCxn id="31" idx="2"/>
          <a:endCxn id="30" idx="0"/>
        </xdr:cNvCxnSpPr>
      </xdr:nvCxnSpPr>
      <xdr:spPr>
        <a:xfrm rot="16200000" flipH="1">
          <a:off x="5541199" y="12897461"/>
          <a:ext cx="219075" cy="175270"/>
        </a:xfrm>
        <a:prstGeom prst="bentConnector3">
          <a:avLst>
            <a:gd name="adj1" fmla="val 50000"/>
          </a:avLst>
        </a:prstGeom>
        <a:ln w="127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862853</xdr:colOff>
      <xdr:row>55</xdr:row>
      <xdr:rowOff>0</xdr:rowOff>
    </xdr:from>
    <xdr:to>
      <xdr:col>12</xdr:col>
      <xdr:colOff>771524</xdr:colOff>
      <xdr:row>79</xdr:row>
      <xdr:rowOff>134471</xdr:rowOff>
    </xdr:to>
    <xdr:sp macro="" textlink="">
      <xdr:nvSpPr>
        <xdr:cNvPr id="41" name="角丸四角形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 flipH="1">
          <a:off x="5827059" y="14421971"/>
          <a:ext cx="4211730" cy="5782235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■定格加熱能力</a:t>
          </a:r>
          <a:r>
            <a:rPr kumimoji="1" lang="en-US" altLang="ja-JP" sz="1100">
              <a:solidFill>
                <a:sysClr val="windowText" lastClr="000000"/>
              </a:solidFill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</a:rPr>
            <a:t>相当蒸発量：</a:t>
          </a:r>
          <a:r>
            <a:rPr kumimoji="1" lang="ja-JP" altLang="en-US" sz="1100" b="1">
              <a:solidFill>
                <a:sysClr val="windowText" lastClr="000000"/>
              </a:solidFill>
            </a:rPr>
            <a:t>加熱の能力値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■能力単位：</a:t>
          </a:r>
          <a:r>
            <a:rPr kumimoji="1" lang="ja-JP" altLang="en-US" sz="1100" b="1">
              <a:solidFill>
                <a:sysClr val="windowText" lastClr="000000"/>
              </a:solidFill>
            </a:rPr>
            <a:t>能力の単位</a:t>
          </a:r>
          <a:r>
            <a:rPr kumimoji="1" lang="ja-JP" altLang="en-US" sz="1100">
              <a:solidFill>
                <a:sysClr val="windowText" lastClr="000000"/>
              </a:solidFill>
            </a:rPr>
            <a:t>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t/h…1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時間当たりの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生産量（トン、重量）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※kW…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キロワット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効率：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加熱に当たっての効率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効率＝加熱能力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燃料消費量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ヒートポンプは、燃料より集まる熱量が大きいため、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％を超える場合がある。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仕様書「燃焼効率」などの記載がある場合、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その値を転記する。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定格燃料消費量：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燃料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消費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の値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●仕様が不明な場合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eaLnBrk="1" fontAlgn="auto" latinLnBrk="0" hangingPunct="1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・省エネ診断</a:t>
          </a:r>
          <a:r>
            <a:rPr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</a:t>
          </a:r>
          <a:r>
            <a:rPr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値で算定</a:t>
          </a:r>
          <a:endParaRPr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・省エネルギー法等を順守した資料に基づく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値で算定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・根拠に基づいた値を記載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・根拠資料は提出が必要</a:t>
          </a:r>
          <a:endParaRPr lang="ja-JP" altLang="ja-JP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7</xdr:col>
      <xdr:colOff>0</xdr:colOff>
      <xdr:row>43</xdr:row>
      <xdr:rowOff>0</xdr:rowOff>
    </xdr:from>
    <xdr:to>
      <xdr:col>12</xdr:col>
      <xdr:colOff>0</xdr:colOff>
      <xdr:row>51</xdr:row>
      <xdr:rowOff>0</xdr:rowOff>
    </xdr:to>
    <xdr:sp macro="" textlink="">
      <xdr:nvSpPr>
        <xdr:cNvPr id="42" name="角丸四角形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SpPr/>
      </xdr:nvSpPr>
      <xdr:spPr>
        <a:xfrm>
          <a:off x="6152029" y="10623176"/>
          <a:ext cx="3115236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381000</xdr:colOff>
      <xdr:row>50</xdr:row>
      <xdr:rowOff>235322</xdr:rowOff>
    </xdr:from>
    <xdr:to>
      <xdr:col>9</xdr:col>
      <xdr:colOff>604277</xdr:colOff>
      <xdr:row>55</xdr:row>
      <xdr:rowOff>-1</xdr:rowOff>
    </xdr:to>
    <xdr:cxnSp macro="">
      <xdr:nvCxnSpPr>
        <xdr:cNvPr id="43" name="カギ線コネクタ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CxnSpPr>
          <a:stCxn id="42" idx="2"/>
          <a:endCxn id="41" idx="0"/>
        </xdr:cNvCxnSpPr>
      </xdr:nvCxnSpPr>
      <xdr:spPr>
        <a:xfrm rot="16200000" flipH="1">
          <a:off x="7350638" y="13839684"/>
          <a:ext cx="941295" cy="223277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771524</xdr:colOff>
      <xdr:row>34</xdr:row>
      <xdr:rowOff>1</xdr:rowOff>
    </xdr:from>
    <xdr:to>
      <xdr:col>15</xdr:col>
      <xdr:colOff>238124</xdr:colOff>
      <xdr:row>38</xdr:row>
      <xdr:rowOff>0</xdr:rowOff>
    </xdr:to>
    <xdr:sp macro="" textlink="">
      <xdr:nvSpPr>
        <xdr:cNvPr id="57" name="角丸四角形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SpPr/>
      </xdr:nvSpPr>
      <xdr:spPr>
        <a:xfrm flipH="1">
          <a:off x="8086724" y="8734426"/>
          <a:ext cx="3714750" cy="914399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■負荷率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：使用状況に基づいた負荷率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■年間使用時間：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0</xdr:colOff>
      <xdr:row>43</xdr:row>
      <xdr:rowOff>9967</xdr:rowOff>
    </xdr:from>
    <xdr:to>
      <xdr:col>15</xdr:col>
      <xdr:colOff>0</xdr:colOff>
      <xdr:row>51</xdr:row>
      <xdr:rowOff>0</xdr:rowOff>
    </xdr:to>
    <xdr:sp macro="" textlink="">
      <xdr:nvSpPr>
        <xdr:cNvPr id="58" name="角丸四角形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SpPr/>
      </xdr:nvSpPr>
      <xdr:spPr>
        <a:xfrm>
          <a:off x="10040471" y="10633143"/>
          <a:ext cx="1546411" cy="2242416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698499</xdr:colOff>
      <xdr:row>38</xdr:row>
      <xdr:rowOff>0</xdr:rowOff>
    </xdr:from>
    <xdr:to>
      <xdr:col>14</xdr:col>
      <xdr:colOff>2</xdr:colOff>
      <xdr:row>43</xdr:row>
      <xdr:rowOff>9967</xdr:rowOff>
    </xdr:to>
    <xdr:cxnSp macro="">
      <xdr:nvCxnSpPr>
        <xdr:cNvPr id="59" name="カギ線コネクタ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CxnSpPr>
          <a:stCxn id="58" idx="0"/>
          <a:endCxn id="57" idx="2"/>
        </xdr:cNvCxnSpPr>
      </xdr:nvCxnSpPr>
      <xdr:spPr>
        <a:xfrm rot="16200000" flipV="1">
          <a:off x="9824443" y="9643909"/>
          <a:ext cx="1130555" cy="847914"/>
        </a:xfrm>
        <a:prstGeom prst="bentConnector3">
          <a:avLst>
            <a:gd name="adj1" fmla="val 45030"/>
          </a:avLst>
        </a:prstGeom>
        <a:ln w="381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761999</xdr:colOff>
      <xdr:row>34</xdr:row>
      <xdr:rowOff>14941</xdr:rowOff>
    </xdr:from>
    <xdr:to>
      <xdr:col>19</xdr:col>
      <xdr:colOff>747057</xdr:colOff>
      <xdr:row>39</xdr:row>
      <xdr:rowOff>176141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SpPr txBox="1"/>
      </xdr:nvSpPr>
      <xdr:spPr>
        <a:xfrm>
          <a:off x="14201587" y="8665882"/>
          <a:ext cx="3092823" cy="1319141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3810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負荷率・使用時間の確認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を求める場合や、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15</xdr:col>
      <xdr:colOff>238124</xdr:colOff>
      <xdr:row>36</xdr:row>
      <xdr:rowOff>1</xdr:rowOff>
    </xdr:from>
    <xdr:to>
      <xdr:col>15</xdr:col>
      <xdr:colOff>761999</xdr:colOff>
      <xdr:row>36</xdr:row>
      <xdr:rowOff>209841</xdr:rowOff>
    </xdr:to>
    <xdr:cxnSp macro="">
      <xdr:nvCxnSpPr>
        <xdr:cNvPr id="64" name="カギ線コネクタ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CxnSpPr>
          <a:stCxn id="57" idx="1"/>
          <a:endCxn id="60" idx="1"/>
        </xdr:cNvCxnSpPr>
      </xdr:nvCxnSpPr>
      <xdr:spPr>
        <a:xfrm>
          <a:off x="11801474" y="9191626"/>
          <a:ext cx="523875" cy="20984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44823</xdr:colOff>
      <xdr:row>43</xdr:row>
      <xdr:rowOff>123264</xdr:rowOff>
    </xdr:from>
    <xdr:to>
      <xdr:col>12</xdr:col>
      <xdr:colOff>579531</xdr:colOff>
      <xdr:row>43</xdr:row>
      <xdr:rowOff>507439</xdr:rowOff>
    </xdr:to>
    <xdr:sp macro="" textlink="">
      <xdr:nvSpPr>
        <xdr:cNvPr id="73" name="角丸四角形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SpPr/>
      </xdr:nvSpPr>
      <xdr:spPr>
        <a:xfrm>
          <a:off x="9312088" y="10746440"/>
          <a:ext cx="534708" cy="384175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771524</xdr:colOff>
      <xdr:row>58</xdr:row>
      <xdr:rowOff>231827</xdr:rowOff>
    </xdr:from>
    <xdr:to>
      <xdr:col>13</xdr:col>
      <xdr:colOff>771524</xdr:colOff>
      <xdr:row>67</xdr:row>
      <xdr:rowOff>67236</xdr:rowOff>
    </xdr:to>
    <xdr:cxnSp macro="">
      <xdr:nvCxnSpPr>
        <xdr:cNvPr id="80" name="カギ線コネクタ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CxnSpPr>
          <a:stCxn id="41" idx="1"/>
          <a:endCxn id="83" idx="3"/>
        </xdr:cNvCxnSpPr>
      </xdr:nvCxnSpPr>
      <xdr:spPr>
        <a:xfrm flipV="1">
          <a:off x="10038789" y="15359768"/>
          <a:ext cx="773206" cy="195332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771524</xdr:colOff>
      <xdr:row>56</xdr:row>
      <xdr:rowOff>228330</xdr:rowOff>
    </xdr:from>
    <xdr:to>
      <xdr:col>18</xdr:col>
      <xdr:colOff>771524</xdr:colOff>
      <xdr:row>61</xdr:row>
      <xdr:rowOff>0</xdr:rowOff>
    </xdr:to>
    <xdr:sp macro="" textlink="">
      <xdr:nvSpPr>
        <xdr:cNvPr id="83" name="角丸四角形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SpPr/>
      </xdr:nvSpPr>
      <xdr:spPr>
        <a:xfrm flipH="1">
          <a:off x="10791824" y="14449155"/>
          <a:ext cx="3857625" cy="91467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0</xdr:colOff>
      <xdr:row>43</xdr:row>
      <xdr:rowOff>0</xdr:rowOff>
    </xdr:from>
    <xdr:to>
      <xdr:col>29</xdr:col>
      <xdr:colOff>22412</xdr:colOff>
      <xdr:row>51</xdr:row>
      <xdr:rowOff>0</xdr:rowOff>
    </xdr:to>
    <xdr:sp macro="" textlink="">
      <xdr:nvSpPr>
        <xdr:cNvPr id="86" name="角丸四角形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SpPr/>
      </xdr:nvSpPr>
      <xdr:spPr>
        <a:xfrm>
          <a:off x="17649265" y="11116235"/>
          <a:ext cx="5513294" cy="236444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3173</xdr:colOff>
      <xdr:row>51</xdr:row>
      <xdr:rowOff>219076</xdr:rowOff>
    </xdr:from>
    <xdr:to>
      <xdr:col>28</xdr:col>
      <xdr:colOff>212912</xdr:colOff>
      <xdr:row>55</xdr:row>
      <xdr:rowOff>33617</xdr:rowOff>
    </xdr:to>
    <xdr:sp macro="" textlink="">
      <xdr:nvSpPr>
        <xdr:cNvPr id="87" name="角丸四角形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SpPr/>
      </xdr:nvSpPr>
      <xdr:spPr>
        <a:xfrm flipH="1">
          <a:off x="15456085" y="13699752"/>
          <a:ext cx="7504768" cy="755836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■型番、設備種類、燃料種類、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定格加熱能力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相当蒸発量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能力単位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効率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、定格燃料消費量、燃料単位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kumimoji="1" lang="ja-JP" altLang="en-US" sz="1100" b="0">
              <a:solidFill>
                <a:sysClr val="windowText" lastClr="000000"/>
              </a:solidFill>
            </a:rPr>
            <a:t>：仕様書に基づいた型番、値、等々</a:t>
          </a:r>
          <a:endParaRPr kumimoji="1" lang="en-US" altLang="ja-JP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371381</xdr:colOff>
      <xdr:row>55</xdr:row>
      <xdr:rowOff>33617</xdr:rowOff>
    </xdr:from>
    <xdr:to>
      <xdr:col>23</xdr:col>
      <xdr:colOff>766109</xdr:colOff>
      <xdr:row>57</xdr:row>
      <xdr:rowOff>0</xdr:rowOff>
    </xdr:to>
    <xdr:cxnSp macro="">
      <xdr:nvCxnSpPr>
        <xdr:cNvPr id="88" name="カギ線コネクタ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CxnSpPr>
          <a:stCxn id="87" idx="2"/>
          <a:endCxn id="89" idx="0"/>
        </xdr:cNvCxnSpPr>
      </xdr:nvCxnSpPr>
      <xdr:spPr>
        <a:xfrm rot="16200000" flipH="1">
          <a:off x="19187318" y="14476739"/>
          <a:ext cx="437030" cy="394728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0</xdr:colOff>
      <xdr:row>57</xdr:row>
      <xdr:rowOff>0</xdr:rowOff>
    </xdr:from>
    <xdr:to>
      <xdr:col>26</xdr:col>
      <xdr:colOff>355600</xdr:colOff>
      <xdr:row>61</xdr:row>
      <xdr:rowOff>6808</xdr:rowOff>
    </xdr:to>
    <xdr:sp macro="" textlink="">
      <xdr:nvSpPr>
        <xdr:cNvPr id="89" name="角丸四角形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SpPr/>
      </xdr:nvSpPr>
      <xdr:spPr>
        <a:xfrm flipH="1">
          <a:off x="17611725" y="14449425"/>
          <a:ext cx="3908425" cy="92120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371381</xdr:colOff>
      <xdr:row>51</xdr:row>
      <xdr:rowOff>1</xdr:rowOff>
    </xdr:from>
    <xdr:to>
      <xdr:col>24</xdr:col>
      <xdr:colOff>381000</xdr:colOff>
      <xdr:row>51</xdr:row>
      <xdr:rowOff>219077</xdr:rowOff>
    </xdr:to>
    <xdr:cxnSp macro="">
      <xdr:nvCxnSpPr>
        <xdr:cNvPr id="92" name="カギ線コネクタ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CxnSpPr>
          <a:stCxn id="86" idx="2"/>
          <a:endCxn id="87" idx="0"/>
        </xdr:cNvCxnSpPr>
      </xdr:nvCxnSpPr>
      <xdr:spPr>
        <a:xfrm rot="5400000">
          <a:off x="19697653" y="12991493"/>
          <a:ext cx="219076" cy="1197443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11</xdr:row>
      <xdr:rowOff>0</xdr:rowOff>
    </xdr:from>
    <xdr:to>
      <xdr:col>7</xdr:col>
      <xdr:colOff>0</xdr:colOff>
      <xdr:row>16</xdr:row>
      <xdr:rowOff>0</xdr:rowOff>
    </xdr:to>
    <xdr:sp macro="" textlink="">
      <xdr:nvSpPr>
        <xdr:cNvPr id="99" name="テキスト ボックス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SpPr txBox="1"/>
      </xdr:nvSpPr>
      <xdr:spPr>
        <a:xfrm>
          <a:off x="277091" y="2874818"/>
          <a:ext cx="5380182" cy="92363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0</xdr:colOff>
      <xdr:row>15</xdr:row>
      <xdr:rowOff>2715</xdr:rowOff>
    </xdr:from>
    <xdr:to>
      <xdr:col>15</xdr:col>
      <xdr:colOff>696668</xdr:colOff>
      <xdr:row>18</xdr:row>
      <xdr:rowOff>0</xdr:rowOff>
    </xdr:to>
    <xdr:grpSp>
      <xdr:nvGrpSpPr>
        <xdr:cNvPr id="100" name="グループ化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GrpSpPr/>
      </xdr:nvGrpSpPr>
      <xdr:grpSpPr>
        <a:xfrm>
          <a:off x="9267265" y="3913568"/>
          <a:ext cx="3016285" cy="703256"/>
          <a:chOff x="7808257" y="2518206"/>
          <a:chExt cx="2783012" cy="628408"/>
        </a:xfrm>
      </xdr:grpSpPr>
      <xdr:grpSp>
        <xdr:nvGrpSpPr>
          <xdr:cNvPr id="101" name="グループ化 100">
            <a:extLst>
              <a:ext uri="{FF2B5EF4-FFF2-40B4-BE49-F238E27FC236}">
                <a16:creationId xmlns:a16="http://schemas.microsoft.com/office/drawing/2014/main" id="{00000000-0008-0000-0400-000065000000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03" name="テキスト ボックス 102">
              <a:extLst>
                <a:ext uri="{FF2B5EF4-FFF2-40B4-BE49-F238E27FC236}">
                  <a16:creationId xmlns:a16="http://schemas.microsoft.com/office/drawing/2014/main" id="{00000000-0008-0000-0400-000067000000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04" name="テキスト ボックス 103">
              <a:extLst>
                <a:ext uri="{FF2B5EF4-FFF2-40B4-BE49-F238E27FC236}">
                  <a16:creationId xmlns:a16="http://schemas.microsoft.com/office/drawing/2014/main" id="{00000000-0008-0000-0400-000068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105" name="テキスト ボックス 104">
              <a:extLst>
                <a:ext uri="{FF2B5EF4-FFF2-40B4-BE49-F238E27FC236}">
                  <a16:creationId xmlns:a16="http://schemas.microsoft.com/office/drawing/2014/main" id="{00000000-0008-0000-0400-000069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02" name="テキスト ボックス 101">
            <a:extLst>
              <a:ext uri="{FF2B5EF4-FFF2-40B4-BE49-F238E27FC236}">
                <a16:creationId xmlns:a16="http://schemas.microsoft.com/office/drawing/2014/main" id="{00000000-0008-0000-0400-000066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12</xdr:col>
      <xdr:colOff>312176</xdr:colOff>
      <xdr:row>38</xdr:row>
      <xdr:rowOff>1</xdr:rowOff>
    </xdr:from>
    <xdr:to>
      <xdr:col>12</xdr:col>
      <xdr:colOff>698497</xdr:colOff>
      <xdr:row>43</xdr:row>
      <xdr:rowOff>123265</xdr:rowOff>
    </xdr:to>
    <xdr:cxnSp macro="">
      <xdr:nvCxnSpPr>
        <xdr:cNvPr id="61" name="カギ線コネクタ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CxnSpPr>
          <a:stCxn id="73" idx="0"/>
          <a:endCxn id="57" idx="2"/>
        </xdr:cNvCxnSpPr>
      </xdr:nvCxnSpPr>
      <xdr:spPr>
        <a:xfrm rot="5400000" flipH="1" flipV="1">
          <a:off x="9150676" y="9931354"/>
          <a:ext cx="1243852" cy="38632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0</xdr:colOff>
      <xdr:row>52</xdr:row>
      <xdr:rowOff>19051</xdr:rowOff>
    </xdr:from>
    <xdr:to>
      <xdr:col>18</xdr:col>
      <xdr:colOff>743914</xdr:colOff>
      <xdr:row>55</xdr:row>
      <xdr:rowOff>19051</xdr:rowOff>
    </xdr:to>
    <xdr:sp macro="" textlink="">
      <xdr:nvSpPr>
        <xdr:cNvPr id="45" name="角丸四角形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SpPr/>
      </xdr:nvSpPr>
      <xdr:spPr>
        <a:xfrm flipH="1">
          <a:off x="10020300" y="13325476"/>
          <a:ext cx="4601539" cy="685800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■負荷率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＝</a:t>
          </a:r>
          <a:r>
            <a:rPr kumimoji="1" lang="ja-JP" altLang="en-US" sz="1100" u="sng">
              <a:solidFill>
                <a:sysClr val="windowText" lastClr="000000"/>
              </a:solidFill>
            </a:rPr>
            <a:t>年間の燃料消費量（実績）</a:t>
          </a:r>
          <a:r>
            <a:rPr kumimoji="1" lang="en-US" altLang="ja-JP" sz="1100">
              <a:solidFill>
                <a:sysClr val="windowText" lastClr="000000"/>
              </a:solidFill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</a:rPr>
            <a:t>定格燃料消費量</a:t>
          </a:r>
          <a:r>
            <a:rPr kumimoji="1" lang="en-US" altLang="ja-JP" sz="1100">
              <a:solidFill>
                <a:sysClr val="windowText" lastClr="000000"/>
              </a:solidFill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</a:rPr>
            <a:t>年使用時間</a:t>
          </a:r>
          <a:r>
            <a:rPr kumimoji="1" lang="en-US" altLang="ja-JP" sz="1100">
              <a:solidFill>
                <a:sysClr val="windowText" lastClr="000000"/>
              </a:solidFill>
            </a:rPr>
            <a:t>÷</a:t>
          </a:r>
          <a:r>
            <a:rPr kumimoji="1" lang="ja-JP" altLang="en-US" sz="1100">
              <a:solidFill>
                <a:sysClr val="windowText" lastClr="000000"/>
              </a:solidFill>
            </a:rPr>
            <a:t>台数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9967</xdr:colOff>
      <xdr:row>43</xdr:row>
      <xdr:rowOff>0</xdr:rowOff>
    </xdr:from>
    <xdr:to>
      <xdr:col>13</xdr:col>
      <xdr:colOff>0</xdr:colOff>
      <xdr:row>51</xdr:row>
      <xdr:rowOff>0</xdr:rowOff>
    </xdr:to>
    <xdr:sp macro="" textlink="">
      <xdr:nvSpPr>
        <xdr:cNvPr id="46" name="角丸四角形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9277232" y="10623176"/>
          <a:ext cx="763239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391587</xdr:colOff>
      <xdr:row>50</xdr:row>
      <xdr:rowOff>224117</xdr:rowOff>
    </xdr:from>
    <xdr:to>
      <xdr:col>13</xdr:col>
      <xdr:colOff>0</xdr:colOff>
      <xdr:row>53</xdr:row>
      <xdr:rowOff>131109</xdr:rowOff>
    </xdr:to>
    <xdr:cxnSp macro="">
      <xdr:nvCxnSpPr>
        <xdr:cNvPr id="47" name="カギ線コネクタ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CxnSpPr>
          <a:stCxn id="46" idx="2"/>
          <a:endCxn id="45" idx="3"/>
        </xdr:cNvCxnSpPr>
      </xdr:nvCxnSpPr>
      <xdr:spPr>
        <a:xfrm rot="16200000" flipH="1">
          <a:off x="9559989" y="12974421"/>
          <a:ext cx="579345" cy="381619"/>
        </a:xfrm>
        <a:prstGeom prst="bentConnector2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0</xdr:colOff>
      <xdr:row>43</xdr:row>
      <xdr:rowOff>0</xdr:rowOff>
    </xdr:from>
    <xdr:to>
      <xdr:col>21</xdr:col>
      <xdr:colOff>0</xdr:colOff>
      <xdr:row>51</xdr:row>
      <xdr:rowOff>0</xdr:rowOff>
    </xdr:to>
    <xdr:sp macro="" textlink="">
      <xdr:nvSpPr>
        <xdr:cNvPr id="81" name="角丸四角形 85">
          <a:extLst>
            <a:ext uri="{FF2B5EF4-FFF2-40B4-BE49-F238E27FC236}">
              <a16:creationId xmlns:a16="http://schemas.microsoft.com/office/drawing/2014/main" id="{F97F0EB3-F3A9-44AF-A476-02AB09735BB7}"/>
            </a:ext>
          </a:extLst>
        </xdr:cNvPr>
        <xdr:cNvSpPr/>
      </xdr:nvSpPr>
      <xdr:spPr>
        <a:xfrm>
          <a:off x="15452912" y="10623176"/>
          <a:ext cx="1423147" cy="225238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20</xdr:col>
      <xdr:colOff>711573</xdr:colOff>
      <xdr:row>51</xdr:row>
      <xdr:rowOff>0</xdr:rowOff>
    </xdr:from>
    <xdr:to>
      <xdr:col>23</xdr:col>
      <xdr:colOff>371380</xdr:colOff>
      <xdr:row>51</xdr:row>
      <xdr:rowOff>219076</xdr:rowOff>
    </xdr:to>
    <xdr:cxnSp macro="">
      <xdr:nvCxnSpPr>
        <xdr:cNvPr id="95" name="カギ線コネクタ 91">
          <a:extLst>
            <a:ext uri="{FF2B5EF4-FFF2-40B4-BE49-F238E27FC236}">
              <a16:creationId xmlns:a16="http://schemas.microsoft.com/office/drawing/2014/main" id="{52700E9E-AF70-41AA-B2C4-72A438F8ADD2}"/>
            </a:ext>
          </a:extLst>
        </xdr:cNvPr>
        <xdr:cNvCxnSpPr>
          <a:cxnSpLocks/>
          <a:stCxn id="81" idx="2"/>
          <a:endCxn id="87" idx="0"/>
        </xdr:cNvCxnSpPr>
      </xdr:nvCxnSpPr>
      <xdr:spPr>
        <a:xfrm rot="16200000" flipH="1">
          <a:off x="17576939" y="12068222"/>
          <a:ext cx="219076" cy="3043983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361950</xdr:colOff>
      <xdr:row>14</xdr:row>
      <xdr:rowOff>225927</xdr:rowOff>
    </xdr:from>
    <xdr:to>
      <xdr:col>37</xdr:col>
      <xdr:colOff>0</xdr:colOff>
      <xdr:row>16</xdr:row>
      <xdr:rowOff>0</xdr:rowOff>
    </xdr:to>
    <xdr:sp macro="" textlink="">
      <xdr:nvSpPr>
        <xdr:cNvPr id="132" name="テキスト ボックス 131">
          <a:extLst>
            <a:ext uri="{FF2B5EF4-FFF2-40B4-BE49-F238E27FC236}">
              <a16:creationId xmlns:a16="http://schemas.microsoft.com/office/drawing/2014/main" id="{81C2A968-4A28-4646-9C6D-1E0F70EA456A}"/>
            </a:ext>
          </a:extLst>
        </xdr:cNvPr>
        <xdr:cNvSpPr txBox="1"/>
      </xdr:nvSpPr>
      <xdr:spPr>
        <a:xfrm>
          <a:off x="22298025" y="3788277"/>
          <a:ext cx="6972300" cy="231273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更新後：燃料消費量＝必要熱量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（更新後台数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更新後効率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÷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更新後負荷率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÷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更新後燃料単位発熱量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8</xdr:row>
      <xdr:rowOff>6350</xdr:rowOff>
    </xdr:from>
    <xdr:to>
      <xdr:col>37</xdr:col>
      <xdr:colOff>0</xdr:colOff>
      <xdr:row>9</xdr:row>
      <xdr:rowOff>0</xdr:rowOff>
    </xdr:to>
    <xdr:sp macro="" textlink="">
      <xdr:nvSpPr>
        <xdr:cNvPr id="133" name="テキスト ボックス 132">
          <a:extLst>
            <a:ext uri="{FF2B5EF4-FFF2-40B4-BE49-F238E27FC236}">
              <a16:creationId xmlns:a16="http://schemas.microsoft.com/office/drawing/2014/main" id="{E63D2DDC-9E8B-4227-A664-C185D2FF6B44}"/>
            </a:ext>
          </a:extLst>
        </xdr:cNvPr>
        <xdr:cNvSpPr txBox="1"/>
      </xdr:nvSpPr>
      <xdr:spPr>
        <a:xfrm>
          <a:off x="22298025" y="2178050"/>
          <a:ext cx="6972300" cy="2222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更新前：必要熱量＝定格燃料消費量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効率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単位発熱量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13</xdr:row>
      <xdr:rowOff>228601</xdr:rowOff>
    </xdr:from>
    <xdr:to>
      <xdr:col>37</xdr:col>
      <xdr:colOff>0</xdr:colOff>
      <xdr:row>14</xdr:row>
      <xdr:rowOff>226596</xdr:rowOff>
    </xdr:to>
    <xdr:sp macro="" textlink="">
      <xdr:nvSpPr>
        <xdr:cNvPr id="134" name="テキスト ボックス 133">
          <a:extLst>
            <a:ext uri="{FF2B5EF4-FFF2-40B4-BE49-F238E27FC236}">
              <a16:creationId xmlns:a16="http://schemas.microsoft.com/office/drawing/2014/main" id="{03CD7145-121A-4BF6-A9DC-8EB0BB5CA59E}"/>
            </a:ext>
          </a:extLst>
        </xdr:cNvPr>
        <xdr:cNvSpPr txBox="1"/>
      </xdr:nvSpPr>
      <xdr:spPr>
        <a:xfrm>
          <a:off x="22298025" y="3552826"/>
          <a:ext cx="6972300" cy="23612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更新後：負荷率＝更新前負荷率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（更新前定格加熱能力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更新前台数）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÷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（更新後定格加熱能力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更新後台数）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361950</xdr:colOff>
      <xdr:row>15</xdr:row>
      <xdr:rowOff>230605</xdr:rowOff>
    </xdr:from>
    <xdr:to>
      <xdr:col>37</xdr:col>
      <xdr:colOff>0</xdr:colOff>
      <xdr:row>17</xdr:row>
      <xdr:rowOff>0</xdr:rowOff>
    </xdr:to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7289C6C-09E5-4B07-8F47-E35480C28940}"/>
            </a:ext>
          </a:extLst>
        </xdr:cNvPr>
        <xdr:cNvSpPr txBox="1"/>
      </xdr:nvSpPr>
      <xdr:spPr>
        <a:xfrm>
          <a:off x="22319582" y="4045618"/>
          <a:ext cx="6977313" cy="23060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更新後：年間燃料消費量＝燃料消費量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359229</xdr:colOff>
      <xdr:row>9</xdr:row>
      <xdr:rowOff>0</xdr:rowOff>
    </xdr:from>
    <xdr:to>
      <xdr:col>36</xdr:col>
      <xdr:colOff>769710</xdr:colOff>
      <xdr:row>10</xdr:row>
      <xdr:rowOff>6350</xdr:rowOff>
    </xdr:to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B7F8C10-C36B-4F8D-8A50-1DADC85D9D6E}"/>
            </a:ext>
          </a:extLst>
        </xdr:cNvPr>
        <xdr:cNvSpPr txBox="1"/>
      </xdr:nvSpPr>
      <xdr:spPr>
        <a:xfrm>
          <a:off x="22332043" y="2400300"/>
          <a:ext cx="6985453" cy="2349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HP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老朽化消費倍率＝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（（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申請年度－更新前設備導入年度）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×0.02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＋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×100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27</xdr:col>
      <xdr:colOff>359229</xdr:colOff>
      <xdr:row>10</xdr:row>
      <xdr:rowOff>0</xdr:rowOff>
    </xdr:from>
    <xdr:to>
      <xdr:col>36</xdr:col>
      <xdr:colOff>769710</xdr:colOff>
      <xdr:row>11</xdr:row>
      <xdr:rowOff>0</xdr:rowOff>
    </xdr:to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63FA4A4-6E5C-4BBA-A566-90F06A9435B3}"/>
            </a:ext>
          </a:extLst>
        </xdr:cNvPr>
        <xdr:cNvSpPr txBox="1"/>
      </xdr:nvSpPr>
      <xdr:spPr>
        <a:xfrm>
          <a:off x="22332043" y="2628900"/>
          <a:ext cx="6985453" cy="23948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更新前：加熱式設備経年劣化率（％）＝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10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　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※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参考値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7</xdr:row>
      <xdr:rowOff>0</xdr:rowOff>
    </xdr:from>
    <xdr:to>
      <xdr:col>21</xdr:col>
      <xdr:colOff>0</xdr:colOff>
      <xdr:row>8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7200900" y="1739900"/>
          <a:ext cx="7531100" cy="22860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エネルギーの削減に繋がらないため、定格出力の増加は原則認められません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20732</xdr:colOff>
      <xdr:row>12</xdr:row>
      <xdr:rowOff>37427</xdr:rowOff>
    </xdr:from>
    <xdr:to>
      <xdr:col>26</xdr:col>
      <xdr:colOff>156884</xdr:colOff>
      <xdr:row>13</xdr:row>
      <xdr:rowOff>56028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/>
      </xdr:nvSpPr>
      <xdr:spPr>
        <a:xfrm>
          <a:off x="12033438" y="3085427"/>
          <a:ext cx="6949328" cy="24271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年間消費電力量＝消費電力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年間稼働時間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インバータ制御効果　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負荷率は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指定値</a:t>
          </a:r>
          <a:endParaRPr lang="ja-JP" altLang="ja-JP">
            <a:effectLst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17</xdr:col>
      <xdr:colOff>16695</xdr:colOff>
      <xdr:row>13</xdr:row>
      <xdr:rowOff>54348</xdr:rowOff>
    </xdr:from>
    <xdr:to>
      <xdr:col>26</xdr:col>
      <xdr:colOff>156883</xdr:colOff>
      <xdr:row>14</xdr:row>
      <xdr:rowOff>33618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2029401" y="3326466"/>
          <a:ext cx="6953364" cy="20338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年間消費電力量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</xdr:col>
      <xdr:colOff>0</xdr:colOff>
      <xdr:row>9</xdr:row>
      <xdr:rowOff>0</xdr:rowOff>
    </xdr:from>
    <xdr:to>
      <xdr:col>9</xdr:col>
      <xdr:colOff>0</xdr:colOff>
      <xdr:row>13</xdr:row>
      <xdr:rowOff>0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273050" y="2400300"/>
          <a:ext cx="6229350" cy="9207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16</xdr:col>
      <xdr:colOff>37642</xdr:colOff>
      <xdr:row>14</xdr:row>
      <xdr:rowOff>225886</xdr:rowOff>
    </xdr:to>
    <xdr:grpSp>
      <xdr:nvGrpSpPr>
        <xdr:cNvPr id="21" name="グループ化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GrpSpPr/>
      </xdr:nvGrpSpPr>
      <xdr:grpSpPr>
        <a:xfrm>
          <a:off x="7877735" y="3204882"/>
          <a:ext cx="3477848" cy="696533"/>
          <a:chOff x="7808257" y="2518206"/>
          <a:chExt cx="2783012" cy="628408"/>
        </a:xfrm>
      </xdr:grpSpPr>
      <xdr:grpSp>
        <xdr:nvGrpSpPr>
          <xdr:cNvPr id="22" name="グループ化 21">
            <a:extLst>
              <a:ext uri="{FF2B5EF4-FFF2-40B4-BE49-F238E27FC236}">
                <a16:creationId xmlns:a16="http://schemas.microsoft.com/office/drawing/2014/main" id="{00000000-0008-0000-0500-000016000000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24" name="テキスト ボックス 23">
              <a:extLst>
                <a:ext uri="{FF2B5EF4-FFF2-40B4-BE49-F238E27FC236}">
                  <a16:creationId xmlns:a16="http://schemas.microsoft.com/office/drawing/2014/main" id="{00000000-0008-0000-0500-000018000000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25" name="テキスト ボックス 24">
              <a:extLst>
                <a:ext uri="{FF2B5EF4-FFF2-40B4-BE49-F238E27FC236}">
                  <a16:creationId xmlns:a16="http://schemas.microsoft.com/office/drawing/2014/main" id="{00000000-0008-0000-0500-000019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28" name="テキスト ボックス 27">
              <a:extLst>
                <a:ext uri="{FF2B5EF4-FFF2-40B4-BE49-F238E27FC236}">
                  <a16:creationId xmlns:a16="http://schemas.microsoft.com/office/drawing/2014/main" id="{00000000-0008-0000-0500-00001C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23" name="テキスト ボックス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</xdr:col>
      <xdr:colOff>522941</xdr:colOff>
      <xdr:row>43</xdr:row>
      <xdr:rowOff>0</xdr:rowOff>
    </xdr:from>
    <xdr:to>
      <xdr:col>3</xdr:col>
      <xdr:colOff>0</xdr:colOff>
      <xdr:row>45</xdr:row>
      <xdr:rowOff>0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 flipH="1">
          <a:off x="795084" y="11334750"/>
          <a:ext cx="1518130" cy="462643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</xdr:colOff>
      <xdr:row>36</xdr:row>
      <xdr:rowOff>0</xdr:rowOff>
    </xdr:from>
    <xdr:to>
      <xdr:col>3</xdr:col>
      <xdr:colOff>1</xdr:colOff>
      <xdr:row>42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/>
      </xdr:nvSpPr>
      <xdr:spPr>
        <a:xfrm>
          <a:off x="1047751" y="9191625"/>
          <a:ext cx="126682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510708</xdr:colOff>
      <xdr:row>42</xdr:row>
      <xdr:rowOff>0</xdr:rowOff>
    </xdr:from>
    <xdr:to>
      <xdr:col>2</xdr:col>
      <xdr:colOff>633414</xdr:colOff>
      <xdr:row>43</xdr:row>
      <xdr:rowOff>0</xdr:rowOff>
    </xdr:to>
    <xdr:cxnSp macro="">
      <xdr:nvCxnSpPr>
        <xdr:cNvPr id="31" name="カギ線コネクタ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CxnSpPr>
          <a:stCxn id="30" idx="2"/>
          <a:endCxn id="29" idx="0"/>
        </xdr:cNvCxnSpPr>
      </xdr:nvCxnSpPr>
      <xdr:spPr>
        <a:xfrm rot="5400000">
          <a:off x="1505511" y="11073372"/>
          <a:ext cx="228600" cy="122706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-1</xdr:colOff>
      <xdr:row>42</xdr:row>
      <xdr:rowOff>217763</xdr:rowOff>
    </xdr:from>
    <xdr:to>
      <xdr:col>8</xdr:col>
      <xdr:colOff>693963</xdr:colOff>
      <xdr:row>54</xdr:row>
      <xdr:rowOff>0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/>
      </xdr:nvSpPr>
      <xdr:spPr>
        <a:xfrm flipH="1">
          <a:off x="3007178" y="11321192"/>
          <a:ext cx="3469821" cy="2558094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■規格：電動機（モーター）の規格を選択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IE1…</a:t>
          </a:r>
          <a:r>
            <a:rPr kumimoji="1" lang="ja-JP" altLang="en-US" sz="1100">
              <a:solidFill>
                <a:sysClr val="windowText" lastClr="000000"/>
              </a:solidFill>
            </a:rPr>
            <a:t>標準効率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IE2…</a:t>
          </a:r>
          <a:r>
            <a:rPr kumimoji="1" lang="ja-JP" altLang="en-US" sz="1100">
              <a:solidFill>
                <a:sysClr val="windowText" lastClr="000000"/>
              </a:solidFill>
            </a:rPr>
            <a:t>高効率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IE3…</a:t>
          </a:r>
          <a:r>
            <a:rPr kumimoji="1" lang="ja-JP" altLang="en-US" sz="1100">
              <a:solidFill>
                <a:sysClr val="windowText" lastClr="000000"/>
              </a:solidFill>
            </a:rPr>
            <a:t>プレミアム効率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en-US" altLang="ja-JP" sz="1100">
              <a:solidFill>
                <a:sysClr val="windowText" lastClr="000000"/>
              </a:solidFill>
            </a:rPr>
            <a:t>IE4…</a:t>
          </a:r>
          <a:r>
            <a:rPr kumimoji="1" lang="ja-JP" altLang="en-US" sz="1100">
              <a:solidFill>
                <a:sysClr val="windowText" lastClr="000000"/>
              </a:solidFill>
            </a:rPr>
            <a:t>スーパープレミアム効率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※</a:t>
          </a:r>
          <a:r>
            <a:rPr lang="en-US" altLang="ja-JP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JIS C 4034-30:2011</a:t>
          </a:r>
          <a:r>
            <a:rPr lang="ja-JP" altLang="en-US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規定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■定格出力、極数：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仕様書等に基づいた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値・極数を選択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0</xdr:colOff>
      <xdr:row>36</xdr:row>
      <xdr:rowOff>0</xdr:rowOff>
    </xdr:from>
    <xdr:to>
      <xdr:col>7</xdr:col>
      <xdr:colOff>0</xdr:colOff>
      <xdr:row>42</xdr:row>
      <xdr:rowOff>0</xdr:rowOff>
    </xdr:to>
    <xdr:sp macro="" textlink="">
      <xdr:nvSpPr>
        <xdr:cNvPr id="33" name="角丸四角形 3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/>
      </xdr:nvSpPr>
      <xdr:spPr>
        <a:xfrm>
          <a:off x="3009900" y="9191625"/>
          <a:ext cx="208597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347663</xdr:colOff>
      <xdr:row>42</xdr:row>
      <xdr:rowOff>0</xdr:rowOff>
    </xdr:from>
    <xdr:to>
      <xdr:col>6</xdr:col>
      <xdr:colOff>348568</xdr:colOff>
      <xdr:row>42</xdr:row>
      <xdr:rowOff>220938</xdr:rowOff>
    </xdr:to>
    <xdr:cxnSp macro="">
      <xdr:nvCxnSpPr>
        <xdr:cNvPr id="34" name="カギ線コネクタ 3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CxnSpPr>
          <a:stCxn id="33" idx="2"/>
          <a:endCxn id="32" idx="0"/>
        </xdr:cNvCxnSpPr>
      </xdr:nvCxnSpPr>
      <xdr:spPr>
        <a:xfrm rot="16200000" flipH="1">
          <a:off x="4290534" y="10782779"/>
          <a:ext cx="220938" cy="696230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307958</xdr:colOff>
      <xdr:row>30</xdr:row>
      <xdr:rowOff>0</xdr:rowOff>
    </xdr:from>
    <xdr:to>
      <xdr:col>15</xdr:col>
      <xdr:colOff>0</xdr:colOff>
      <xdr:row>33</xdr:row>
      <xdr:rowOff>25400</xdr:rowOff>
    </xdr:to>
    <xdr:sp macro="" textlink="">
      <xdr:nvSpPr>
        <xdr:cNvPr id="35" name="角丸四角形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/>
      </xdr:nvSpPr>
      <xdr:spPr>
        <a:xfrm flipH="1">
          <a:off x="6111858" y="9950450"/>
          <a:ext cx="3851292" cy="850900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■年間稼働時間：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業務実態に基づいた稼働時間・日数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en-US" altLang="ja-JP" sz="1100" b="1">
              <a:solidFill>
                <a:sysClr val="windowText" lastClr="000000"/>
              </a:solidFill>
            </a:rPr>
            <a:t>※</a:t>
          </a:r>
          <a:r>
            <a:rPr kumimoji="1" lang="ja-JP" altLang="en-US" sz="1100" b="1" u="sng">
              <a:solidFill>
                <a:sysClr val="windowText" lastClr="000000"/>
              </a:solidFill>
            </a:rPr>
            <a:t>日稼働時間＝日稼働時間</a:t>
          </a:r>
          <a:r>
            <a:rPr kumimoji="1" lang="en-US" altLang="ja-JP" sz="1100" b="1" u="sng">
              <a:solidFill>
                <a:sysClr val="windowText" lastClr="000000"/>
              </a:solidFill>
            </a:rPr>
            <a:t>×</a:t>
          </a:r>
          <a:r>
            <a:rPr kumimoji="1" lang="ja-JP" altLang="en-US" sz="1100" b="1" u="sng">
              <a:solidFill>
                <a:sysClr val="windowText" lastClr="000000"/>
              </a:solidFill>
            </a:rPr>
            <a:t>年間使用日数</a:t>
          </a:r>
          <a:endParaRPr kumimoji="1" lang="en-US" altLang="ja-JP" sz="1100" b="1" u="sng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28575</xdr:colOff>
      <xdr:row>36</xdr:row>
      <xdr:rowOff>0</xdr:rowOff>
    </xdr:from>
    <xdr:to>
      <xdr:col>13</xdr:col>
      <xdr:colOff>0</xdr:colOff>
      <xdr:row>42</xdr:row>
      <xdr:rowOff>0</xdr:rowOff>
    </xdr:to>
    <xdr:sp macro="" textlink="">
      <xdr:nvSpPr>
        <xdr:cNvPr id="37" name="角丸四角形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/>
      </xdr:nvSpPr>
      <xdr:spPr>
        <a:xfrm>
          <a:off x="7210425" y="9191625"/>
          <a:ext cx="1333500" cy="1828800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9525</xdr:colOff>
      <xdr:row>33</xdr:row>
      <xdr:rowOff>28576</xdr:rowOff>
    </xdr:from>
    <xdr:to>
      <xdr:col>12</xdr:col>
      <xdr:colOff>149216</xdr:colOff>
      <xdr:row>36</xdr:row>
      <xdr:rowOff>1</xdr:rowOff>
    </xdr:to>
    <xdr:cxnSp macro="">
      <xdr:nvCxnSpPr>
        <xdr:cNvPr id="39" name="カギ線コネクタ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CxnSpPr>
          <a:stCxn id="37" idx="0"/>
          <a:endCxn id="35" idx="2"/>
        </xdr:cNvCxnSpPr>
      </xdr:nvCxnSpPr>
      <xdr:spPr>
        <a:xfrm rot="5400000" flipH="1" flipV="1">
          <a:off x="7618408" y="8793168"/>
          <a:ext cx="657225" cy="13969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0</xdr:colOff>
      <xdr:row>30</xdr:row>
      <xdr:rowOff>0</xdr:rowOff>
    </xdr:from>
    <xdr:to>
      <xdr:col>21</xdr:col>
      <xdr:colOff>0</xdr:colOff>
      <xdr:row>34</xdr:row>
      <xdr:rowOff>120672</xdr:rowOff>
    </xdr:to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10613571" y="7742464"/>
          <a:ext cx="4041322" cy="1182029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3810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必要に応じて、稼働時間の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を求める場合や、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15</xdr:col>
      <xdr:colOff>0</xdr:colOff>
      <xdr:row>31</xdr:row>
      <xdr:rowOff>61913</xdr:rowOff>
    </xdr:from>
    <xdr:to>
      <xdr:col>16</xdr:col>
      <xdr:colOff>0</xdr:colOff>
      <xdr:row>31</xdr:row>
      <xdr:rowOff>223622</xdr:rowOff>
    </xdr:to>
    <xdr:cxnSp macro="">
      <xdr:nvCxnSpPr>
        <xdr:cNvPr id="47" name="カギ線コネクタ 46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CxnSpPr>
          <a:stCxn id="35" idx="1"/>
          <a:endCxn id="46" idx="1"/>
        </xdr:cNvCxnSpPr>
      </xdr:nvCxnSpPr>
      <xdr:spPr>
        <a:xfrm>
          <a:off x="9919607" y="8171770"/>
          <a:ext cx="693964" cy="161709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</xdr:colOff>
      <xdr:row>36</xdr:row>
      <xdr:rowOff>0</xdr:rowOff>
    </xdr:from>
    <xdr:to>
      <xdr:col>11</xdr:col>
      <xdr:colOff>1</xdr:colOff>
      <xdr:row>42</xdr:row>
      <xdr:rowOff>0</xdr:rowOff>
    </xdr:to>
    <xdr:sp macro="" textlink="">
      <xdr:nvSpPr>
        <xdr:cNvPr id="53" name="角丸四角形 52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/>
      </xdr:nvSpPr>
      <xdr:spPr>
        <a:xfrm>
          <a:off x="6486526" y="9191625"/>
          <a:ext cx="69532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695324</xdr:colOff>
      <xdr:row>43</xdr:row>
      <xdr:rowOff>0</xdr:rowOff>
    </xdr:from>
    <xdr:to>
      <xdr:col>15</xdr:col>
      <xdr:colOff>361949</xdr:colOff>
      <xdr:row>46</xdr:row>
      <xdr:rowOff>1</xdr:rowOff>
    </xdr:to>
    <xdr:sp macro="" textlink="">
      <xdr:nvSpPr>
        <xdr:cNvPr id="54" name="角丸四角形 53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/>
      </xdr:nvSpPr>
      <xdr:spPr>
        <a:xfrm flipH="1">
          <a:off x="7181849" y="11249025"/>
          <a:ext cx="3114675" cy="685801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■インバータ制御の有無の選択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・インバータ制御の場合は「○」を選択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347664</xdr:colOff>
      <xdr:row>41</xdr:row>
      <xdr:rowOff>228599</xdr:rowOff>
    </xdr:from>
    <xdr:to>
      <xdr:col>11</xdr:col>
      <xdr:colOff>3174</xdr:colOff>
      <xdr:row>44</xdr:row>
      <xdr:rowOff>114300</xdr:rowOff>
    </xdr:to>
    <xdr:cxnSp macro="">
      <xdr:nvCxnSpPr>
        <xdr:cNvPr id="55" name="カギ線コネクタ 54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CxnSpPr>
          <a:stCxn id="53" idx="2"/>
          <a:endCxn id="54" idx="3"/>
        </xdr:cNvCxnSpPr>
      </xdr:nvCxnSpPr>
      <xdr:spPr>
        <a:xfrm rot="16200000" flipH="1">
          <a:off x="6723856" y="11130757"/>
          <a:ext cx="571501" cy="350835"/>
        </a:xfrm>
        <a:prstGeom prst="bentConnector2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33618</xdr:colOff>
      <xdr:row>35</xdr:row>
      <xdr:rowOff>224118</xdr:rowOff>
    </xdr:from>
    <xdr:to>
      <xdr:col>26</xdr:col>
      <xdr:colOff>33618</xdr:colOff>
      <xdr:row>41</xdr:row>
      <xdr:rowOff>217393</xdr:rowOff>
    </xdr:to>
    <xdr:sp macro="" textlink="">
      <xdr:nvSpPr>
        <xdr:cNvPr id="15" name="角丸四角形 52">
          <a:extLst>
            <a:ext uri="{FF2B5EF4-FFF2-40B4-BE49-F238E27FC236}">
              <a16:creationId xmlns:a16="http://schemas.microsoft.com/office/drawing/2014/main" id="{DD6CFD11-5D73-4D23-BE52-5EADDCFC9DF5}"/>
            </a:ext>
          </a:extLst>
        </xdr:cNvPr>
        <xdr:cNvSpPr/>
      </xdr:nvSpPr>
      <xdr:spPr>
        <a:xfrm>
          <a:off x="17481177" y="9233647"/>
          <a:ext cx="694765" cy="165174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25</xdr:col>
      <xdr:colOff>381001</xdr:colOff>
      <xdr:row>41</xdr:row>
      <xdr:rowOff>217393</xdr:rowOff>
    </xdr:from>
    <xdr:to>
      <xdr:col>26</xdr:col>
      <xdr:colOff>0</xdr:colOff>
      <xdr:row>44</xdr:row>
      <xdr:rowOff>114300</xdr:rowOff>
    </xdr:to>
    <xdr:cxnSp macro="">
      <xdr:nvCxnSpPr>
        <xdr:cNvPr id="17" name="カギ線コネクタ 54">
          <a:extLst>
            <a:ext uri="{FF2B5EF4-FFF2-40B4-BE49-F238E27FC236}">
              <a16:creationId xmlns:a16="http://schemas.microsoft.com/office/drawing/2014/main" id="{777F1919-6340-4D2A-804E-BE04C25DBBD1}"/>
            </a:ext>
          </a:extLst>
        </xdr:cNvPr>
        <xdr:cNvCxnSpPr>
          <a:cxnSpLocks/>
          <a:stCxn id="15" idx="2"/>
          <a:endCxn id="19" idx="3"/>
        </xdr:cNvCxnSpPr>
      </xdr:nvCxnSpPr>
      <xdr:spPr>
        <a:xfrm rot="16200000" flipH="1">
          <a:off x="17684003" y="11029950"/>
          <a:ext cx="602878" cy="313764"/>
        </a:xfrm>
        <a:prstGeom prst="bentConnector2">
          <a:avLst/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0</xdr:colOff>
      <xdr:row>42</xdr:row>
      <xdr:rowOff>228599</xdr:rowOff>
    </xdr:from>
    <xdr:to>
      <xdr:col>30</xdr:col>
      <xdr:colOff>352425</xdr:colOff>
      <xdr:row>46</xdr:row>
      <xdr:rowOff>0</xdr:rowOff>
    </xdr:to>
    <xdr:sp macro="" textlink="">
      <xdr:nvSpPr>
        <xdr:cNvPr id="19" name="角丸四角形 53">
          <a:extLst>
            <a:ext uri="{FF2B5EF4-FFF2-40B4-BE49-F238E27FC236}">
              <a16:creationId xmlns:a16="http://schemas.microsoft.com/office/drawing/2014/main" id="{9BA48CFD-1938-4237-AA12-09AB7B0FE614}"/>
            </a:ext>
          </a:extLst>
        </xdr:cNvPr>
        <xdr:cNvSpPr/>
      </xdr:nvSpPr>
      <xdr:spPr>
        <a:xfrm flipH="1">
          <a:off x="17459325" y="11249024"/>
          <a:ext cx="3114675" cy="685801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■インバータの有無の選択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・インバータがある場合は「○」を選択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3173</xdr:colOff>
      <xdr:row>43</xdr:row>
      <xdr:rowOff>17738</xdr:rowOff>
    </xdr:from>
    <xdr:to>
      <xdr:col>22</xdr:col>
      <xdr:colOff>3173</xdr:colOff>
      <xdr:row>46</xdr:row>
      <xdr:rowOff>0</xdr:rowOff>
    </xdr:to>
    <xdr:sp macro="" textlink="">
      <xdr:nvSpPr>
        <xdr:cNvPr id="27" name="角丸四角形 31">
          <a:extLst>
            <a:ext uri="{FF2B5EF4-FFF2-40B4-BE49-F238E27FC236}">
              <a16:creationId xmlns:a16="http://schemas.microsoft.com/office/drawing/2014/main" id="{7344DEC2-1570-404F-8D95-F707E4ACA875}"/>
            </a:ext>
          </a:extLst>
        </xdr:cNvPr>
        <xdr:cNvSpPr/>
      </xdr:nvSpPr>
      <xdr:spPr>
        <a:xfrm flipH="1">
          <a:off x="11328398" y="11266763"/>
          <a:ext cx="4048125" cy="668062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■型番、規格、定格出力、極数：</a:t>
          </a:r>
          <a:r>
            <a:rPr kumimoji="1" lang="ja-JP" altLang="ja-JP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仕様書等に基づいた型番、値</a:t>
          </a:r>
          <a:r>
            <a:rPr kumimoji="1" lang="ja-JP" altLang="en-US" sz="1100" b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の記載や、規格等を選択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0</xdr:colOff>
      <xdr:row>35</xdr:row>
      <xdr:rowOff>228599</xdr:rowOff>
    </xdr:from>
    <xdr:to>
      <xdr:col>18</xdr:col>
      <xdr:colOff>0</xdr:colOff>
      <xdr:row>42</xdr:row>
      <xdr:rowOff>9522</xdr:rowOff>
    </xdr:to>
    <xdr:sp macro="" textlink="">
      <xdr:nvSpPr>
        <xdr:cNvPr id="36" name="角丸四角形 29">
          <a:extLst>
            <a:ext uri="{FF2B5EF4-FFF2-40B4-BE49-F238E27FC236}">
              <a16:creationId xmlns:a16="http://schemas.microsoft.com/office/drawing/2014/main" id="{15403975-7C98-48F0-A9C0-03FE63AF0204}"/>
            </a:ext>
          </a:extLst>
        </xdr:cNvPr>
        <xdr:cNvSpPr/>
      </xdr:nvSpPr>
      <xdr:spPr>
        <a:xfrm>
          <a:off x="11325225" y="9191624"/>
          <a:ext cx="1266825" cy="1838323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0</xdr:colOff>
      <xdr:row>36</xdr:row>
      <xdr:rowOff>0</xdr:rowOff>
    </xdr:from>
    <xdr:to>
      <xdr:col>22</xdr:col>
      <xdr:colOff>0</xdr:colOff>
      <xdr:row>42</xdr:row>
      <xdr:rowOff>0</xdr:rowOff>
    </xdr:to>
    <xdr:sp macro="" textlink="">
      <xdr:nvSpPr>
        <xdr:cNvPr id="38" name="角丸四角形 32">
          <a:extLst>
            <a:ext uri="{FF2B5EF4-FFF2-40B4-BE49-F238E27FC236}">
              <a16:creationId xmlns:a16="http://schemas.microsoft.com/office/drawing/2014/main" id="{8F8823D4-E532-4061-A51C-2EE3628021E8}"/>
            </a:ext>
          </a:extLst>
        </xdr:cNvPr>
        <xdr:cNvSpPr/>
      </xdr:nvSpPr>
      <xdr:spPr>
        <a:xfrm>
          <a:off x="13287375" y="9191625"/>
          <a:ext cx="2085975" cy="18288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633413</xdr:colOff>
      <xdr:row>42</xdr:row>
      <xdr:rowOff>9522</xdr:rowOff>
    </xdr:from>
    <xdr:to>
      <xdr:col>19</xdr:col>
      <xdr:colOff>65085</xdr:colOff>
      <xdr:row>43</xdr:row>
      <xdr:rowOff>17738</xdr:rowOff>
    </xdr:to>
    <xdr:cxnSp macro="">
      <xdr:nvCxnSpPr>
        <xdr:cNvPr id="40" name="カギ線コネクタ 54">
          <a:extLst>
            <a:ext uri="{FF2B5EF4-FFF2-40B4-BE49-F238E27FC236}">
              <a16:creationId xmlns:a16="http://schemas.microsoft.com/office/drawing/2014/main" id="{09D09CD5-55F4-428B-9EC3-9CEDBBF9415F}"/>
            </a:ext>
          </a:extLst>
        </xdr:cNvPr>
        <xdr:cNvCxnSpPr>
          <a:cxnSpLocks/>
          <a:stCxn id="36" idx="2"/>
          <a:endCxn id="27" idx="0"/>
        </xdr:cNvCxnSpPr>
      </xdr:nvCxnSpPr>
      <xdr:spPr>
        <a:xfrm rot="16200000" flipH="1">
          <a:off x="12537141" y="10451444"/>
          <a:ext cx="236816" cy="1393822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65085</xdr:colOff>
      <xdr:row>42</xdr:row>
      <xdr:rowOff>1</xdr:rowOff>
    </xdr:from>
    <xdr:to>
      <xdr:col>20</xdr:col>
      <xdr:colOff>347663</xdr:colOff>
      <xdr:row>43</xdr:row>
      <xdr:rowOff>17739</xdr:rowOff>
    </xdr:to>
    <xdr:cxnSp macro="">
      <xdr:nvCxnSpPr>
        <xdr:cNvPr id="42" name="カギ線コネクタ 54">
          <a:extLst>
            <a:ext uri="{FF2B5EF4-FFF2-40B4-BE49-F238E27FC236}">
              <a16:creationId xmlns:a16="http://schemas.microsoft.com/office/drawing/2014/main" id="{56D6B046-65DE-4035-89C8-1D154CB0DCFF}"/>
            </a:ext>
          </a:extLst>
        </xdr:cNvPr>
        <xdr:cNvCxnSpPr>
          <a:cxnSpLocks/>
          <a:stCxn id="38" idx="2"/>
          <a:endCxn id="27" idx="0"/>
        </xdr:cNvCxnSpPr>
      </xdr:nvCxnSpPr>
      <xdr:spPr>
        <a:xfrm rot="5400000">
          <a:off x="13718243" y="10654643"/>
          <a:ext cx="246338" cy="977903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1813</xdr:colOff>
      <xdr:row>48</xdr:row>
      <xdr:rowOff>110469</xdr:rowOff>
    </xdr:from>
    <xdr:to>
      <xdr:col>11</xdr:col>
      <xdr:colOff>0</xdr:colOff>
      <xdr:row>48</xdr:row>
      <xdr:rowOff>217529</xdr:rowOff>
    </xdr:to>
    <xdr:cxnSp macro="">
      <xdr:nvCxnSpPr>
        <xdr:cNvPr id="57" name="カギ線コネクタ 79">
          <a:extLst>
            <a:ext uri="{FF2B5EF4-FFF2-40B4-BE49-F238E27FC236}">
              <a16:creationId xmlns:a16="http://schemas.microsoft.com/office/drawing/2014/main" id="{5427A68E-5D1D-40D6-9C7E-2906A7E44DAC}"/>
            </a:ext>
          </a:extLst>
        </xdr:cNvPr>
        <xdr:cNvCxnSpPr>
          <a:stCxn id="32" idx="1"/>
          <a:endCxn id="58" idx="3"/>
        </xdr:cNvCxnSpPr>
      </xdr:nvCxnSpPr>
      <xdr:spPr>
        <a:xfrm>
          <a:off x="6488338" y="12502494"/>
          <a:ext cx="693512" cy="10706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0</xdr:colOff>
      <xdr:row>47</xdr:row>
      <xdr:rowOff>0</xdr:rowOff>
    </xdr:from>
    <xdr:to>
      <xdr:col>16</xdr:col>
      <xdr:colOff>417979</xdr:colOff>
      <xdr:row>50</xdr:row>
      <xdr:rowOff>206458</xdr:rowOff>
    </xdr:to>
    <xdr:sp macro="" textlink="">
      <xdr:nvSpPr>
        <xdr:cNvPr id="58" name="角丸四角形 82">
          <a:extLst>
            <a:ext uri="{FF2B5EF4-FFF2-40B4-BE49-F238E27FC236}">
              <a16:creationId xmlns:a16="http://schemas.microsoft.com/office/drawing/2014/main" id="{FE1403BB-C825-4E1F-9F8E-79038D9A5C70}"/>
            </a:ext>
          </a:extLst>
        </xdr:cNvPr>
        <xdr:cNvSpPr/>
      </xdr:nvSpPr>
      <xdr:spPr>
        <a:xfrm flipH="1">
          <a:off x="7181850" y="12163425"/>
          <a:ext cx="3866029" cy="89225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0</xdr:colOff>
      <xdr:row>47</xdr:row>
      <xdr:rowOff>19797</xdr:rowOff>
    </xdr:from>
    <xdr:to>
      <xdr:col>22</xdr:col>
      <xdr:colOff>7845</xdr:colOff>
      <xdr:row>51</xdr:row>
      <xdr:rowOff>0</xdr:rowOff>
    </xdr:to>
    <xdr:sp macro="" textlink="">
      <xdr:nvSpPr>
        <xdr:cNvPr id="61" name="角丸四角形 47">
          <a:extLst>
            <a:ext uri="{FF2B5EF4-FFF2-40B4-BE49-F238E27FC236}">
              <a16:creationId xmlns:a16="http://schemas.microsoft.com/office/drawing/2014/main" id="{04388E1A-1FA0-4102-9360-63203B971090}"/>
            </a:ext>
          </a:extLst>
        </xdr:cNvPr>
        <xdr:cNvSpPr/>
      </xdr:nvSpPr>
      <xdr:spPr>
        <a:xfrm flipH="1">
          <a:off x="11325225" y="12183222"/>
          <a:ext cx="4055970" cy="89460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19</xdr:col>
      <xdr:colOff>65086</xdr:colOff>
      <xdr:row>45</xdr:row>
      <xdr:rowOff>228599</xdr:rowOff>
    </xdr:from>
    <xdr:to>
      <xdr:col>19</xdr:col>
      <xdr:colOff>65836</xdr:colOff>
      <xdr:row>47</xdr:row>
      <xdr:rowOff>19796</xdr:rowOff>
    </xdr:to>
    <xdr:cxnSp macro="">
      <xdr:nvCxnSpPr>
        <xdr:cNvPr id="62" name="カギ線コネクタ 64">
          <a:extLst>
            <a:ext uri="{FF2B5EF4-FFF2-40B4-BE49-F238E27FC236}">
              <a16:creationId xmlns:a16="http://schemas.microsoft.com/office/drawing/2014/main" id="{7F78A580-87BD-48C7-A6FB-5944F31F8465}"/>
            </a:ext>
          </a:extLst>
        </xdr:cNvPr>
        <xdr:cNvCxnSpPr>
          <a:stCxn id="27" idx="2"/>
          <a:endCxn id="61" idx="0"/>
        </xdr:cNvCxnSpPr>
      </xdr:nvCxnSpPr>
      <xdr:spPr>
        <a:xfrm rot="16200000" flipH="1">
          <a:off x="13228637" y="12058648"/>
          <a:ext cx="248397" cy="75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27215</xdr:colOff>
      <xdr:row>13</xdr:row>
      <xdr:rowOff>0</xdr:rowOff>
    </xdr:from>
    <xdr:to>
      <xdr:col>23</xdr:col>
      <xdr:colOff>707572</xdr:colOff>
      <xdr:row>14</xdr:row>
      <xdr:rowOff>13608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2872358" y="3714750"/>
          <a:ext cx="5429250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更新前後：年間消費電力量＝無負荷損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×8760h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＋負荷損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負荷率２乗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</xdr:col>
      <xdr:colOff>1</xdr:colOff>
      <xdr:row>40</xdr:row>
      <xdr:rowOff>0</xdr:rowOff>
    </xdr:from>
    <xdr:to>
      <xdr:col>3</xdr:col>
      <xdr:colOff>0</xdr:colOff>
      <xdr:row>42</xdr:row>
      <xdr:rowOff>0</xdr:rowOff>
    </xdr:to>
    <xdr:sp macro="" textlink="">
      <xdr:nvSpPr>
        <xdr:cNvPr id="15" name="角丸四角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76942" y="12543118"/>
          <a:ext cx="1187823" cy="91141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0</xdr:colOff>
      <xdr:row>43</xdr:row>
      <xdr:rowOff>0</xdr:rowOff>
    </xdr:from>
    <xdr:to>
      <xdr:col>4</xdr:col>
      <xdr:colOff>575582</xdr:colOff>
      <xdr:row>53</xdr:row>
      <xdr:rowOff>-1</xdr:rowOff>
    </xdr:to>
    <xdr:sp macro="" textlink="">
      <xdr:nvSpPr>
        <xdr:cNvPr id="16" name="角丸四角形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 flipH="1">
          <a:off x="272143" y="11742964"/>
          <a:ext cx="3242582" cy="2313214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■望ましい記載：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型番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●型番が不明な場合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・「</a:t>
          </a:r>
          <a:r>
            <a:rPr kumimoji="1" lang="ja-JP" altLang="en-US" sz="1100" b="1">
              <a:solidFill>
                <a:sysClr val="windowText" lastClr="000000"/>
              </a:solidFill>
            </a:rPr>
            <a:t>動力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</a:rPr>
            <a:t>電灯</a:t>
          </a:r>
          <a:r>
            <a:rPr kumimoji="1" lang="ja-JP" altLang="en-US" sz="1100">
              <a:solidFill>
                <a:sysClr val="windowText" lastClr="000000"/>
              </a:solidFill>
            </a:rPr>
            <a:t>、</a:t>
          </a:r>
          <a:r>
            <a:rPr kumimoji="1" lang="en-US" altLang="ja-JP" sz="1100" b="1">
              <a:solidFill>
                <a:sysClr val="windowText" lastClr="000000"/>
              </a:solidFill>
            </a:rPr>
            <a:t>KVA</a:t>
          </a:r>
          <a:r>
            <a:rPr kumimoji="1" lang="ja-JP" altLang="en-US" sz="1100" b="1">
              <a:solidFill>
                <a:sysClr val="windowText" lastClr="000000"/>
              </a:solidFill>
            </a:rPr>
            <a:t>」</a:t>
          </a:r>
          <a:r>
            <a:rPr kumimoji="1" lang="ja-JP" altLang="en-US" sz="1100">
              <a:solidFill>
                <a:sysClr val="windowText" lastClr="000000"/>
              </a:solidFill>
            </a:rPr>
            <a:t>など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・どういった規格の設備か分かるように記載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動力・電灯や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KVA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が異なるものは判別できるように記載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598716</xdr:colOff>
      <xdr:row>41</xdr:row>
      <xdr:rowOff>462642</xdr:rowOff>
    </xdr:from>
    <xdr:to>
      <xdr:col>2</xdr:col>
      <xdr:colOff>847272</xdr:colOff>
      <xdr:row>42</xdr:row>
      <xdr:rowOff>231320</xdr:rowOff>
    </xdr:to>
    <xdr:cxnSp macro="">
      <xdr:nvCxnSpPr>
        <xdr:cNvPr id="17" name="カギ線コネクタ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CxnSpPr>
          <a:stCxn id="15" idx="2"/>
          <a:endCxn id="16" idx="0"/>
        </xdr:cNvCxnSpPr>
      </xdr:nvCxnSpPr>
      <xdr:spPr>
        <a:xfrm rot="16200000" flipH="1">
          <a:off x="1655083" y="11503025"/>
          <a:ext cx="231321" cy="248556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43</xdr:row>
      <xdr:rowOff>2</xdr:rowOff>
    </xdr:from>
    <xdr:to>
      <xdr:col>11</xdr:col>
      <xdr:colOff>0</xdr:colOff>
      <xdr:row>53</xdr:row>
      <xdr:rowOff>1</xdr:rowOff>
    </xdr:to>
    <xdr:sp macro="" textlink="">
      <xdr:nvSpPr>
        <xdr:cNvPr id="26" name="角丸四角形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/>
      </xdr:nvSpPr>
      <xdr:spPr>
        <a:xfrm flipH="1">
          <a:off x="3633107" y="11742966"/>
          <a:ext cx="4422322" cy="2313214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■容量、相数、変圧比、無負荷損、負荷損：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仕様書に基づいた仕様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等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で確認が取れた仕様</a:t>
          </a:r>
          <a:endParaRPr kumimoji="0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・根拠に基づいた仕様を記載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40</xdr:row>
      <xdr:rowOff>0</xdr:rowOff>
    </xdr:from>
    <xdr:to>
      <xdr:col>8</xdr:col>
      <xdr:colOff>0</xdr:colOff>
      <xdr:row>42</xdr:row>
      <xdr:rowOff>0</xdr:rowOff>
    </xdr:to>
    <xdr:sp macro="" textlink="">
      <xdr:nvSpPr>
        <xdr:cNvPr id="27" name="角丸四角形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/>
      </xdr:nvSpPr>
      <xdr:spPr>
        <a:xfrm>
          <a:off x="1964765" y="12543118"/>
          <a:ext cx="3765176" cy="91141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476252</xdr:colOff>
      <xdr:row>41</xdr:row>
      <xdr:rowOff>462642</xdr:rowOff>
    </xdr:from>
    <xdr:to>
      <xdr:col>7</xdr:col>
      <xdr:colOff>564698</xdr:colOff>
      <xdr:row>43</xdr:row>
      <xdr:rowOff>1</xdr:rowOff>
    </xdr:to>
    <xdr:cxnSp macro="">
      <xdr:nvCxnSpPr>
        <xdr:cNvPr id="28" name="カギ線コネクタ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CxnSpPr>
          <a:stCxn id="27" idx="2"/>
          <a:endCxn id="26" idx="0"/>
        </xdr:cNvCxnSpPr>
      </xdr:nvCxnSpPr>
      <xdr:spPr>
        <a:xfrm rot="16200000" flipH="1">
          <a:off x="4861152" y="10759849"/>
          <a:ext cx="231323" cy="1734910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0</xdr:colOff>
      <xdr:row>37</xdr:row>
      <xdr:rowOff>0</xdr:rowOff>
    </xdr:from>
    <xdr:to>
      <xdr:col>11</xdr:col>
      <xdr:colOff>0</xdr:colOff>
      <xdr:row>39</xdr:row>
      <xdr:rowOff>0</xdr:rowOff>
    </xdr:to>
    <xdr:sp macro="" textlink="">
      <xdr:nvSpPr>
        <xdr:cNvPr id="29" name="角丸四角形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/>
      </xdr:nvSpPr>
      <xdr:spPr>
        <a:xfrm>
          <a:off x="6432176" y="11452412"/>
          <a:ext cx="1404471" cy="859117"/>
        </a:xfrm>
        <a:prstGeom prst="roundRect">
          <a:avLst/>
        </a:prstGeom>
        <a:noFill/>
        <a:ln w="38100">
          <a:solidFill>
            <a:schemeClr val="accent4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527050</xdr:colOff>
      <xdr:row>31</xdr:row>
      <xdr:rowOff>0</xdr:rowOff>
    </xdr:from>
    <xdr:to>
      <xdr:col>19</xdr:col>
      <xdr:colOff>708961</xdr:colOff>
      <xdr:row>35</xdr:row>
      <xdr:rowOff>0</xdr:rowOff>
    </xdr:to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/>
      </xdr:nvSpPr>
      <xdr:spPr>
        <a:xfrm>
          <a:off x="9994900" y="10248900"/>
          <a:ext cx="5134911" cy="10541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使用時間の確認</a:t>
          </a:r>
          <a:endParaRPr kumimoji="1" lang="en-US" altLang="ja-JP" sz="1100" b="1"/>
        </a:p>
        <a:p>
          <a:r>
            <a:rPr kumimoji="1" lang="ja-JP" altLang="en-US" sz="1100"/>
            <a:t>必要に応じて、使用時間の</a:t>
          </a:r>
          <a:r>
            <a:rPr kumimoji="1" lang="ja-JP" altLang="en-US" sz="1100" b="1"/>
            <a:t>根拠資料の提出</a:t>
          </a:r>
          <a:r>
            <a:rPr kumimoji="1" lang="ja-JP" altLang="en-US" sz="1100"/>
            <a:t>をお願いする場合や、</a:t>
          </a:r>
          <a:r>
            <a:rPr kumimoji="1" lang="ja-JP" altLang="en-US" sz="1100" b="1"/>
            <a:t>ヒアリング</a:t>
          </a:r>
          <a:r>
            <a:rPr kumimoji="1" lang="ja-JP" altLang="en-US" sz="1100" b="0"/>
            <a:t>、</a:t>
          </a:r>
          <a:r>
            <a:rPr kumimoji="1" lang="ja-JP" altLang="en-US" sz="1100" b="1"/>
            <a:t>現地調査</a:t>
          </a:r>
          <a:r>
            <a:rPr kumimoji="1" lang="ja-JP" altLang="en-US" sz="1100"/>
            <a:t>を実施することがあります。</a:t>
          </a:r>
          <a:endParaRPr kumimoji="1" lang="en-US" altLang="ja-JP" sz="1100"/>
        </a:p>
        <a:p>
          <a:r>
            <a:rPr kumimoji="1" lang="ja-JP" altLang="en-US" sz="1100"/>
            <a:t>あらかじめご了承ください。</a:t>
          </a:r>
        </a:p>
      </xdr:txBody>
    </xdr:sp>
    <xdr:clientData/>
  </xdr:twoCellAnchor>
  <xdr:twoCellAnchor>
    <xdr:from>
      <xdr:col>13</xdr:col>
      <xdr:colOff>104587</xdr:colOff>
      <xdr:row>32</xdr:row>
      <xdr:rowOff>137831</xdr:rowOff>
    </xdr:from>
    <xdr:to>
      <xdr:col>13</xdr:col>
      <xdr:colOff>527050</xdr:colOff>
      <xdr:row>32</xdr:row>
      <xdr:rowOff>158750</xdr:rowOff>
    </xdr:to>
    <xdr:cxnSp macro="">
      <xdr:nvCxnSpPr>
        <xdr:cNvPr id="31" name="カギ線コネクタ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CxnSpPr>
          <a:stCxn id="32" idx="1"/>
          <a:endCxn id="30" idx="1"/>
        </xdr:cNvCxnSpPr>
      </xdr:nvCxnSpPr>
      <xdr:spPr>
        <a:xfrm>
          <a:off x="9572437" y="10755031"/>
          <a:ext cx="422463" cy="20919"/>
        </a:xfrm>
        <a:prstGeom prst="bentConnector3">
          <a:avLst>
            <a:gd name="adj1" fmla="val 50000"/>
          </a:avLst>
        </a:prstGeom>
        <a:ln w="38100">
          <a:solidFill>
            <a:srgbClr val="FFC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634999</xdr:colOff>
      <xdr:row>31</xdr:row>
      <xdr:rowOff>82175</xdr:rowOff>
    </xdr:from>
    <xdr:to>
      <xdr:col>13</xdr:col>
      <xdr:colOff>104587</xdr:colOff>
      <xdr:row>34</xdr:row>
      <xdr:rowOff>104587</xdr:rowOff>
    </xdr:to>
    <xdr:sp macro="" textlink="">
      <xdr:nvSpPr>
        <xdr:cNvPr id="32" name="角丸四角形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/>
      </xdr:nvSpPr>
      <xdr:spPr>
        <a:xfrm flipH="1">
          <a:off x="5662705" y="10242175"/>
          <a:ext cx="3683000" cy="620059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業務実態に基づいた使用時間・日数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0</xdr:colOff>
      <xdr:row>34</xdr:row>
      <xdr:rowOff>104588</xdr:rowOff>
    </xdr:from>
    <xdr:to>
      <xdr:col>10</xdr:col>
      <xdr:colOff>369793</xdr:colOff>
      <xdr:row>37</xdr:row>
      <xdr:rowOff>1</xdr:rowOff>
    </xdr:to>
    <xdr:cxnSp macro="">
      <xdr:nvCxnSpPr>
        <xdr:cNvPr id="33" name="カギ線コネクタ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CxnSpPr>
          <a:stCxn id="32" idx="2"/>
          <a:endCxn id="29" idx="0"/>
        </xdr:cNvCxnSpPr>
      </xdr:nvCxnSpPr>
      <xdr:spPr>
        <a:xfrm rot="5400000">
          <a:off x="7024220" y="10972427"/>
          <a:ext cx="590178" cy="369793"/>
        </a:xfrm>
        <a:prstGeom prst="bentConnector3">
          <a:avLst>
            <a:gd name="adj1" fmla="val 50000"/>
          </a:avLst>
        </a:prstGeom>
        <a:ln w="19050">
          <a:solidFill>
            <a:schemeClr val="accent4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9</xdr:row>
      <xdr:rowOff>0</xdr:rowOff>
    </xdr:from>
    <xdr:to>
      <xdr:col>9</xdr:col>
      <xdr:colOff>6937</xdr:colOff>
      <xdr:row>14</xdr:row>
      <xdr:rowOff>0</xdr:rowOff>
    </xdr:to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273050" y="2711450"/>
          <a:ext cx="6407737" cy="92075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0</xdr:colOff>
      <xdr:row>7</xdr:row>
      <xdr:rowOff>1</xdr:rowOff>
    </xdr:from>
    <xdr:to>
      <xdr:col>20</xdr:col>
      <xdr:colOff>0</xdr:colOff>
      <xdr:row>8</xdr:row>
      <xdr:rowOff>1</xdr:rowOff>
    </xdr:to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7403353" y="2091766"/>
          <a:ext cx="7836647" cy="231588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容量の増加に伴いエネルギーの削減に繋がらない場合は、補助対象と認められない場合があります。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0</xdr:colOff>
      <xdr:row>13</xdr:row>
      <xdr:rowOff>1</xdr:rowOff>
    </xdr:from>
    <xdr:to>
      <xdr:col>15</xdr:col>
      <xdr:colOff>0</xdr:colOff>
      <xdr:row>16</xdr:row>
      <xdr:rowOff>0</xdr:rowOff>
    </xdr:to>
    <xdr:grpSp>
      <xdr:nvGrpSpPr>
        <xdr:cNvPr id="41" name="グループ化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GrpSpPr/>
      </xdr:nvGrpSpPr>
      <xdr:grpSpPr>
        <a:xfrm>
          <a:off x="6667500" y="3675530"/>
          <a:ext cx="3597088" cy="694764"/>
          <a:chOff x="7808258" y="2518206"/>
          <a:chExt cx="2806466" cy="628408"/>
        </a:xfrm>
      </xdr:grpSpPr>
      <xdr:grpSp>
        <xdr:nvGrpSpPr>
          <xdr:cNvPr id="42" name="グループ化 41">
            <a:extLst>
              <a:ext uri="{FF2B5EF4-FFF2-40B4-BE49-F238E27FC236}">
                <a16:creationId xmlns:a16="http://schemas.microsoft.com/office/drawing/2014/main" id="{00000000-0008-0000-0600-00002A000000}"/>
              </a:ext>
            </a:extLst>
          </xdr:cNvPr>
          <xdr:cNvGrpSpPr/>
        </xdr:nvGrpSpPr>
        <xdr:grpSpPr>
          <a:xfrm>
            <a:off x="7808258" y="2518206"/>
            <a:ext cx="2806466" cy="628408"/>
            <a:chOff x="17123226" y="2975963"/>
            <a:chExt cx="2816558" cy="616323"/>
          </a:xfrm>
        </xdr:grpSpPr>
        <xdr:sp macro="" textlink="">
          <xdr:nvSpPr>
            <xdr:cNvPr id="44" name="テキスト ボックス 43">
              <a:extLst>
                <a:ext uri="{FF2B5EF4-FFF2-40B4-BE49-F238E27FC236}">
                  <a16:creationId xmlns:a16="http://schemas.microsoft.com/office/drawing/2014/main" id="{00000000-0008-0000-0600-00002C000000}"/>
                </a:ext>
              </a:extLst>
            </xdr:cNvPr>
            <xdr:cNvSpPr txBox="1"/>
          </xdr:nvSpPr>
          <xdr:spPr>
            <a:xfrm>
              <a:off x="17123226" y="2975963"/>
              <a:ext cx="2816558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45" name="テキスト ボックス 44">
              <a:extLst>
                <a:ext uri="{FF2B5EF4-FFF2-40B4-BE49-F238E27FC236}">
                  <a16:creationId xmlns:a16="http://schemas.microsoft.com/office/drawing/2014/main" id="{00000000-0008-0000-0600-00002D000000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46" name="テキスト ボックス 45">
              <a:extLst>
                <a:ext uri="{FF2B5EF4-FFF2-40B4-BE49-F238E27FC236}">
                  <a16:creationId xmlns:a16="http://schemas.microsoft.com/office/drawing/2014/main" id="{00000000-0008-0000-0600-00002E000000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43" name="テキスト ボックス 42">
            <a:extLst>
              <a:ext uri="{FF2B5EF4-FFF2-40B4-BE49-F238E27FC236}">
                <a16:creationId xmlns:a16="http://schemas.microsoft.com/office/drawing/2014/main" id="{00000000-0008-0000-0600-00002B00000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11</xdr:col>
      <xdr:colOff>0</xdr:colOff>
      <xdr:row>44</xdr:row>
      <xdr:rowOff>214807</xdr:rowOff>
    </xdr:from>
    <xdr:to>
      <xdr:col>11</xdr:col>
      <xdr:colOff>657677</xdr:colOff>
      <xdr:row>48</xdr:row>
      <xdr:rowOff>2</xdr:rowOff>
    </xdr:to>
    <xdr:cxnSp macro="">
      <xdr:nvCxnSpPr>
        <xdr:cNvPr id="20" name="カギ線コネクタ 79">
          <a:extLst>
            <a:ext uri="{FF2B5EF4-FFF2-40B4-BE49-F238E27FC236}">
              <a16:creationId xmlns:a16="http://schemas.microsoft.com/office/drawing/2014/main" id="{1B5939A0-C6AF-439F-8DFD-0E6DD9F1E1DF}"/>
            </a:ext>
          </a:extLst>
        </xdr:cNvPr>
        <xdr:cNvCxnSpPr>
          <a:stCxn id="26" idx="1"/>
          <a:endCxn id="21" idx="3"/>
        </xdr:cNvCxnSpPr>
      </xdr:nvCxnSpPr>
      <xdr:spPr>
        <a:xfrm flipV="1">
          <a:off x="8055429" y="12189093"/>
          <a:ext cx="657677" cy="710480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654502</xdr:colOff>
      <xdr:row>43</xdr:row>
      <xdr:rowOff>0</xdr:rowOff>
    </xdr:from>
    <xdr:to>
      <xdr:col>16</xdr:col>
      <xdr:colOff>503249</xdr:colOff>
      <xdr:row>46</xdr:row>
      <xdr:rowOff>201468</xdr:rowOff>
    </xdr:to>
    <xdr:sp macro="" textlink="">
      <xdr:nvSpPr>
        <xdr:cNvPr id="21" name="角丸四角形 82">
          <a:extLst>
            <a:ext uri="{FF2B5EF4-FFF2-40B4-BE49-F238E27FC236}">
              <a16:creationId xmlns:a16="http://schemas.microsoft.com/office/drawing/2014/main" id="{F4B71148-1A3A-4C30-B2C3-D57BFA2DE553}"/>
            </a:ext>
          </a:extLst>
        </xdr:cNvPr>
        <xdr:cNvSpPr/>
      </xdr:nvSpPr>
      <xdr:spPr>
        <a:xfrm flipH="1">
          <a:off x="8709931" y="11742964"/>
          <a:ext cx="3862854" cy="89543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0</xdr:colOff>
      <xdr:row>40</xdr:row>
      <xdr:rowOff>0</xdr:rowOff>
    </xdr:from>
    <xdr:to>
      <xdr:col>21</xdr:col>
      <xdr:colOff>0</xdr:colOff>
      <xdr:row>42</xdr:row>
      <xdr:rowOff>0</xdr:rowOff>
    </xdr:to>
    <xdr:sp macro="" textlink="">
      <xdr:nvSpPr>
        <xdr:cNvPr id="25" name="角丸四角形 26">
          <a:extLst>
            <a:ext uri="{FF2B5EF4-FFF2-40B4-BE49-F238E27FC236}">
              <a16:creationId xmlns:a16="http://schemas.microsoft.com/office/drawing/2014/main" id="{4211A19F-92C3-4E4C-8994-A264BCD423B7}"/>
            </a:ext>
          </a:extLst>
        </xdr:cNvPr>
        <xdr:cNvSpPr/>
      </xdr:nvSpPr>
      <xdr:spPr>
        <a:xfrm>
          <a:off x="10872107" y="10586357"/>
          <a:ext cx="5089072" cy="92528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693963</xdr:colOff>
      <xdr:row>43</xdr:row>
      <xdr:rowOff>1</xdr:rowOff>
    </xdr:from>
    <xdr:to>
      <xdr:col>23</xdr:col>
      <xdr:colOff>272142</xdr:colOff>
      <xdr:row>50</xdr:row>
      <xdr:rowOff>0</xdr:rowOff>
    </xdr:to>
    <xdr:sp macro="" textlink="">
      <xdr:nvSpPr>
        <xdr:cNvPr id="34" name="角丸四角形 25">
          <a:extLst>
            <a:ext uri="{FF2B5EF4-FFF2-40B4-BE49-F238E27FC236}">
              <a16:creationId xmlns:a16="http://schemas.microsoft.com/office/drawing/2014/main" id="{5A8ED05C-A02B-4250-998A-49139D9FEB8F}"/>
            </a:ext>
          </a:extLst>
        </xdr:cNvPr>
        <xdr:cNvSpPr/>
      </xdr:nvSpPr>
      <xdr:spPr>
        <a:xfrm flipH="1">
          <a:off x="12763499" y="11511644"/>
          <a:ext cx="5021036" cy="1619249"/>
        </a:xfrm>
        <a:prstGeom prst="roundRect">
          <a:avLst/>
        </a:prstGeom>
        <a:solidFill>
          <a:schemeClr val="bg1"/>
        </a:solidFill>
        <a:ln w="3810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■型番、容量、相数、変圧比、無負荷損、負荷損：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仕様書に基づいた仕様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・根拠に基づいた仕様を記載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653144</xdr:colOff>
      <xdr:row>41</xdr:row>
      <xdr:rowOff>462641</xdr:rowOff>
    </xdr:from>
    <xdr:to>
      <xdr:col>20</xdr:col>
      <xdr:colOff>88447</xdr:colOff>
      <xdr:row>43</xdr:row>
      <xdr:rowOff>0</xdr:rowOff>
    </xdr:to>
    <xdr:cxnSp macro="">
      <xdr:nvCxnSpPr>
        <xdr:cNvPr id="35" name="カギ線コネクタ 27">
          <a:extLst>
            <a:ext uri="{FF2B5EF4-FFF2-40B4-BE49-F238E27FC236}">
              <a16:creationId xmlns:a16="http://schemas.microsoft.com/office/drawing/2014/main" id="{A4CD575F-0F75-460F-9B50-80B8840F0220}"/>
            </a:ext>
          </a:extLst>
        </xdr:cNvPr>
        <xdr:cNvCxnSpPr>
          <a:stCxn id="25" idx="2"/>
          <a:endCxn id="34" idx="0"/>
        </xdr:cNvCxnSpPr>
      </xdr:nvCxnSpPr>
      <xdr:spPr>
        <a:xfrm rot="16200000" flipH="1">
          <a:off x="14229669" y="10467295"/>
          <a:ext cx="231323" cy="1857374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597673</xdr:colOff>
      <xdr:row>43</xdr:row>
      <xdr:rowOff>27508</xdr:rowOff>
    </xdr:from>
    <xdr:to>
      <xdr:col>29</xdr:col>
      <xdr:colOff>0</xdr:colOff>
      <xdr:row>47</xdr:row>
      <xdr:rowOff>0</xdr:rowOff>
    </xdr:to>
    <xdr:sp macro="" textlink="">
      <xdr:nvSpPr>
        <xdr:cNvPr id="38" name="角丸四角形 47">
          <a:extLst>
            <a:ext uri="{FF2B5EF4-FFF2-40B4-BE49-F238E27FC236}">
              <a16:creationId xmlns:a16="http://schemas.microsoft.com/office/drawing/2014/main" id="{2D2A4866-5686-4801-B384-FA7A7B60CC34}"/>
            </a:ext>
          </a:extLst>
        </xdr:cNvPr>
        <xdr:cNvSpPr/>
      </xdr:nvSpPr>
      <xdr:spPr>
        <a:xfrm flipH="1">
          <a:off x="18110066" y="11770472"/>
          <a:ext cx="4055970" cy="897778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381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272142</xdr:colOff>
      <xdr:row>45</xdr:row>
      <xdr:rowOff>15342</xdr:rowOff>
    </xdr:from>
    <xdr:to>
      <xdr:col>23</xdr:col>
      <xdr:colOff>600848</xdr:colOff>
      <xdr:row>46</xdr:row>
      <xdr:rowOff>115662</xdr:rowOff>
    </xdr:to>
    <xdr:cxnSp macro="">
      <xdr:nvCxnSpPr>
        <xdr:cNvPr id="47" name="カギ線コネクタ 64">
          <a:extLst>
            <a:ext uri="{FF2B5EF4-FFF2-40B4-BE49-F238E27FC236}">
              <a16:creationId xmlns:a16="http://schemas.microsoft.com/office/drawing/2014/main" id="{5FE62C7E-78B4-4AC1-92E9-83944226376F}"/>
            </a:ext>
          </a:extLst>
        </xdr:cNvPr>
        <xdr:cNvCxnSpPr>
          <a:stCxn id="34" idx="1"/>
          <a:endCxn id="38" idx="3"/>
        </xdr:cNvCxnSpPr>
      </xdr:nvCxnSpPr>
      <xdr:spPr>
        <a:xfrm flipV="1">
          <a:off x="17784535" y="11989628"/>
          <a:ext cx="328706" cy="331641"/>
        </a:xfrm>
        <a:prstGeom prst="bentConnector3">
          <a:avLst>
            <a:gd name="adj1" fmla="val 50000"/>
          </a:avLst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28577</xdr:colOff>
      <xdr:row>14</xdr:row>
      <xdr:rowOff>19050</xdr:rowOff>
    </xdr:from>
    <xdr:to>
      <xdr:col>23</xdr:col>
      <xdr:colOff>707030</xdr:colOff>
      <xdr:row>15</xdr:row>
      <xdr:rowOff>19049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8B46489-8CE5-4C19-8739-EE4D475FD8AD}"/>
            </a:ext>
          </a:extLst>
        </xdr:cNvPr>
        <xdr:cNvSpPr txBox="1"/>
      </xdr:nvSpPr>
      <xdr:spPr>
        <a:xfrm>
          <a:off x="12877802" y="3895725"/>
          <a:ext cx="5412378" cy="22859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排出量＝年間電力消費量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27213</xdr:colOff>
      <xdr:row>16</xdr:row>
      <xdr:rowOff>95250</xdr:rowOff>
    </xdr:from>
    <xdr:to>
      <xdr:col>24</xdr:col>
      <xdr:colOff>27213</xdr:colOff>
      <xdr:row>17</xdr:row>
      <xdr:rowOff>95249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561621D-7140-4218-81E4-49E65642DD9B}"/>
            </a:ext>
          </a:extLst>
        </xdr:cNvPr>
        <xdr:cNvSpPr txBox="1"/>
      </xdr:nvSpPr>
      <xdr:spPr>
        <a:xfrm>
          <a:off x="15416892" y="4204607"/>
          <a:ext cx="5429250" cy="231321"/>
        </a:xfrm>
        <a:prstGeom prst="rect">
          <a:avLst/>
        </a:prstGeom>
        <a:noFill/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後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：年間電力消費量＝年間消費電力量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(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 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24×365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17</xdr:col>
      <xdr:colOff>40821</xdr:colOff>
      <xdr:row>17</xdr:row>
      <xdr:rowOff>89452</xdr:rowOff>
    </xdr:from>
    <xdr:to>
      <xdr:col>24</xdr:col>
      <xdr:colOff>40821</xdr:colOff>
      <xdr:row>18</xdr:row>
      <xdr:rowOff>95250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BFD0BC2-7551-481D-BAED-CAEC33B64346}"/>
            </a:ext>
          </a:extLst>
        </xdr:cNvPr>
        <xdr:cNvSpPr txBox="1"/>
      </xdr:nvSpPr>
      <xdr:spPr>
        <a:xfrm>
          <a:off x="15430500" y="4430131"/>
          <a:ext cx="5429250" cy="23711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排出量＝年間電力消費量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</xdr:col>
      <xdr:colOff>665629</xdr:colOff>
      <xdr:row>50</xdr:row>
      <xdr:rowOff>222449</xdr:rowOff>
    </xdr:from>
    <xdr:to>
      <xdr:col>3</xdr:col>
      <xdr:colOff>1426358</xdr:colOff>
      <xdr:row>63</xdr:row>
      <xdr:rowOff>36194</xdr:rowOff>
    </xdr:to>
    <xdr:sp macro="" textlink="">
      <xdr:nvSpPr>
        <xdr:cNvPr id="5" name="角丸四角形 12">
          <a:extLst>
            <a:ext uri="{FF2B5EF4-FFF2-40B4-BE49-F238E27FC236}">
              <a16:creationId xmlns:a16="http://schemas.microsoft.com/office/drawing/2014/main" id="{16BFC375-342B-4F2D-9BDE-F8C0C291070A}"/>
            </a:ext>
          </a:extLst>
        </xdr:cNvPr>
        <xdr:cNvSpPr/>
      </xdr:nvSpPr>
      <xdr:spPr>
        <a:xfrm flipH="1">
          <a:off x="1465729" y="12597329"/>
          <a:ext cx="1598929" cy="278554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●型番が不明な場合の記載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・「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規格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冷凍容量、冷蔵容量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・どういった規格の設備か分かるように記載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50</xdr:row>
      <xdr:rowOff>0</xdr:rowOff>
    </xdr:to>
    <xdr:sp macro="" textlink="">
      <xdr:nvSpPr>
        <xdr:cNvPr id="6" name="角丸四角形 13">
          <a:extLst>
            <a:ext uri="{FF2B5EF4-FFF2-40B4-BE49-F238E27FC236}">
              <a16:creationId xmlns:a16="http://schemas.microsoft.com/office/drawing/2014/main" id="{231EDC83-8E87-4600-9DBA-18CAE41CCF61}"/>
            </a:ext>
          </a:extLst>
        </xdr:cNvPr>
        <xdr:cNvSpPr/>
      </xdr:nvSpPr>
      <xdr:spPr>
        <a:xfrm>
          <a:off x="1638300" y="10774680"/>
          <a:ext cx="2034540" cy="1600200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628462</xdr:colOff>
      <xdr:row>50</xdr:row>
      <xdr:rowOff>0</xdr:rowOff>
    </xdr:from>
    <xdr:to>
      <xdr:col>3</xdr:col>
      <xdr:colOff>762000</xdr:colOff>
      <xdr:row>50</xdr:row>
      <xdr:rowOff>224354</xdr:rowOff>
    </xdr:to>
    <xdr:cxnSp macro="">
      <xdr:nvCxnSpPr>
        <xdr:cNvPr id="7" name="カギ線コネクタ 15">
          <a:extLst>
            <a:ext uri="{FF2B5EF4-FFF2-40B4-BE49-F238E27FC236}">
              <a16:creationId xmlns:a16="http://schemas.microsoft.com/office/drawing/2014/main" id="{881EBC47-6462-416F-B365-37D15DCEA087}"/>
            </a:ext>
          </a:extLst>
        </xdr:cNvPr>
        <xdr:cNvCxnSpPr>
          <a:stCxn id="6" idx="2"/>
          <a:endCxn id="5" idx="0"/>
        </xdr:cNvCxnSpPr>
      </xdr:nvCxnSpPr>
      <xdr:spPr>
        <a:xfrm rot="5400000">
          <a:off x="2221354" y="12420288"/>
          <a:ext cx="224354" cy="133538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11947</xdr:colOff>
      <xdr:row>43</xdr:row>
      <xdr:rowOff>206189</xdr:rowOff>
    </xdr:from>
    <xdr:to>
      <xdr:col>9</xdr:col>
      <xdr:colOff>8965</xdr:colOff>
      <xdr:row>49</xdr:row>
      <xdr:rowOff>206189</xdr:rowOff>
    </xdr:to>
    <xdr:sp macro="" textlink="">
      <xdr:nvSpPr>
        <xdr:cNvPr id="8" name="角丸四角形 30">
          <a:extLst>
            <a:ext uri="{FF2B5EF4-FFF2-40B4-BE49-F238E27FC236}">
              <a16:creationId xmlns:a16="http://schemas.microsoft.com/office/drawing/2014/main" id="{72E70FDE-4F51-444E-BB73-AFB371778855}"/>
            </a:ext>
          </a:extLst>
        </xdr:cNvPr>
        <xdr:cNvSpPr/>
      </xdr:nvSpPr>
      <xdr:spPr>
        <a:xfrm>
          <a:off x="5269747" y="10752269"/>
          <a:ext cx="2305878" cy="1600200"/>
        </a:xfrm>
        <a:prstGeom prst="roundRect">
          <a:avLst>
            <a:gd name="adj" fmla="val 9204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538161</xdr:colOff>
      <xdr:row>49</xdr:row>
      <xdr:rowOff>210000</xdr:rowOff>
    </xdr:from>
    <xdr:to>
      <xdr:col>8</xdr:col>
      <xdr:colOff>394034</xdr:colOff>
      <xdr:row>52</xdr:row>
      <xdr:rowOff>31527</xdr:rowOff>
    </xdr:to>
    <xdr:cxnSp macro="">
      <xdr:nvCxnSpPr>
        <xdr:cNvPr id="9" name="カギ線コネクタ 31">
          <a:extLst>
            <a:ext uri="{FF2B5EF4-FFF2-40B4-BE49-F238E27FC236}">
              <a16:creationId xmlns:a16="http://schemas.microsoft.com/office/drawing/2014/main" id="{46467126-6185-4F2F-83C6-2D215F5FEF30}"/>
            </a:ext>
          </a:extLst>
        </xdr:cNvPr>
        <xdr:cNvCxnSpPr>
          <a:cxnSpLocks/>
          <a:stCxn id="8" idx="2"/>
          <a:endCxn id="25" idx="0"/>
        </xdr:cNvCxnSpPr>
      </xdr:nvCxnSpPr>
      <xdr:spPr>
        <a:xfrm rot="5400000">
          <a:off x="5855044" y="11527577"/>
          <a:ext cx="507327" cy="2164733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515471</xdr:colOff>
      <xdr:row>55</xdr:row>
      <xdr:rowOff>218226</xdr:rowOff>
    </xdr:from>
    <xdr:to>
      <xdr:col>24</xdr:col>
      <xdr:colOff>773205</xdr:colOff>
      <xdr:row>57</xdr:row>
      <xdr:rowOff>104869</xdr:rowOff>
    </xdr:to>
    <xdr:cxnSp macro="">
      <xdr:nvCxnSpPr>
        <xdr:cNvPr id="10" name="カギ線コネクタ 87">
          <a:extLst>
            <a:ext uri="{FF2B5EF4-FFF2-40B4-BE49-F238E27FC236}">
              <a16:creationId xmlns:a16="http://schemas.microsoft.com/office/drawing/2014/main" id="{A2A9CDE8-60B8-40C9-9609-9B4A18D29D58}"/>
            </a:ext>
          </a:extLst>
        </xdr:cNvPr>
        <xdr:cNvCxnSpPr>
          <a:cxnSpLocks/>
          <a:stCxn id="29" idx="1"/>
          <a:endCxn id="11" idx="2"/>
        </xdr:cNvCxnSpPr>
      </xdr:nvCxnSpPr>
      <xdr:spPr>
        <a:xfrm flipV="1">
          <a:off x="17782391" y="13736106"/>
          <a:ext cx="1796974" cy="343843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52</xdr:row>
      <xdr:rowOff>0</xdr:rowOff>
    </xdr:from>
    <xdr:to>
      <xdr:col>26</xdr:col>
      <xdr:colOff>770030</xdr:colOff>
      <xdr:row>55</xdr:row>
      <xdr:rowOff>221401</xdr:rowOff>
    </xdr:to>
    <xdr:sp macro="" textlink="">
      <xdr:nvSpPr>
        <xdr:cNvPr id="11" name="角丸四角形 88">
          <a:extLst>
            <a:ext uri="{FF2B5EF4-FFF2-40B4-BE49-F238E27FC236}">
              <a16:creationId xmlns:a16="http://schemas.microsoft.com/office/drawing/2014/main" id="{4DCF0DE2-9B9E-4D82-BA14-E4ED5AEEDEA7}"/>
            </a:ext>
          </a:extLst>
        </xdr:cNvPr>
        <xdr:cNvSpPr/>
      </xdr:nvSpPr>
      <xdr:spPr>
        <a:xfrm flipH="1">
          <a:off x="18036540" y="12832080"/>
          <a:ext cx="3078890" cy="90720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448234</xdr:colOff>
      <xdr:row>49</xdr:row>
      <xdr:rowOff>217766</xdr:rowOff>
    </xdr:from>
    <xdr:to>
      <xdr:col>18</xdr:col>
      <xdr:colOff>705969</xdr:colOff>
      <xdr:row>51</xdr:row>
      <xdr:rowOff>209737</xdr:rowOff>
    </xdr:to>
    <xdr:cxnSp macro="">
      <xdr:nvCxnSpPr>
        <xdr:cNvPr id="12" name="カギ線コネクタ 91">
          <a:extLst>
            <a:ext uri="{FF2B5EF4-FFF2-40B4-BE49-F238E27FC236}">
              <a16:creationId xmlns:a16="http://schemas.microsoft.com/office/drawing/2014/main" id="{4F000401-CA71-465C-9077-5DFE5AC15248}"/>
            </a:ext>
          </a:extLst>
        </xdr:cNvPr>
        <xdr:cNvCxnSpPr>
          <a:cxnSpLocks/>
          <a:stCxn id="20" idx="2"/>
          <a:endCxn id="29" idx="0"/>
        </xdr:cNvCxnSpPr>
      </xdr:nvCxnSpPr>
      <xdr:spPr>
        <a:xfrm rot="16200000" flipH="1">
          <a:off x="14540956" y="12459764"/>
          <a:ext cx="449171" cy="257735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12</xdr:row>
      <xdr:rowOff>231320</xdr:rowOff>
    </xdr:from>
    <xdr:to>
      <xdr:col>8</xdr:col>
      <xdr:colOff>0</xdr:colOff>
      <xdr:row>16</xdr:row>
      <xdr:rowOff>231320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382F09-8676-4BA7-9A3B-B2960F073951}"/>
            </a:ext>
          </a:extLst>
        </xdr:cNvPr>
        <xdr:cNvSpPr txBox="1"/>
      </xdr:nvSpPr>
      <xdr:spPr>
        <a:xfrm>
          <a:off x="274320" y="3317420"/>
          <a:ext cx="6522720" cy="92202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89648</xdr:colOff>
      <xdr:row>15</xdr:row>
      <xdr:rowOff>179293</xdr:rowOff>
    </xdr:from>
    <xdr:to>
      <xdr:col>16</xdr:col>
      <xdr:colOff>501605</xdr:colOff>
      <xdr:row>18</xdr:row>
      <xdr:rowOff>172096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C25DEAFF-1F3E-4C1B-9468-485D7E8FCC5B}"/>
            </a:ext>
          </a:extLst>
        </xdr:cNvPr>
        <xdr:cNvGrpSpPr/>
      </xdr:nvGrpSpPr>
      <xdr:grpSpPr>
        <a:xfrm>
          <a:off x="9247255" y="4220614"/>
          <a:ext cx="4643779" cy="727589"/>
          <a:chOff x="7808257" y="2518206"/>
          <a:chExt cx="2783012" cy="628408"/>
        </a:xfrm>
      </xdr:grpSpPr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99265D65-B36F-9A6E-B9A7-915B2B3E5CC9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2677CAC2-621F-DB27-3CA9-86EEF3623AE7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F084AF61-3614-3831-567B-167043FD915D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0D379E44-19CA-8C96-EB90-C1972D3B23D8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E3A4245B-6BBA-4E80-E330-B07B6D7176F2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15</xdr:col>
      <xdr:colOff>0</xdr:colOff>
      <xdr:row>43</xdr:row>
      <xdr:rowOff>220942</xdr:rowOff>
    </xdr:from>
    <xdr:to>
      <xdr:col>21</xdr:col>
      <xdr:colOff>0</xdr:colOff>
      <xdr:row>49</xdr:row>
      <xdr:rowOff>220941</xdr:rowOff>
    </xdr:to>
    <xdr:sp macro="" textlink="">
      <xdr:nvSpPr>
        <xdr:cNvPr id="20" name="角丸四角形 45">
          <a:extLst>
            <a:ext uri="{FF2B5EF4-FFF2-40B4-BE49-F238E27FC236}">
              <a16:creationId xmlns:a16="http://schemas.microsoft.com/office/drawing/2014/main" id="{5D4445CC-E022-48F9-B545-51FA1437E0D2}"/>
            </a:ext>
          </a:extLst>
        </xdr:cNvPr>
        <xdr:cNvSpPr/>
      </xdr:nvSpPr>
      <xdr:spPr>
        <a:xfrm>
          <a:off x="10645140" y="10767022"/>
          <a:ext cx="5852160" cy="1600199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16</xdr:col>
      <xdr:colOff>865118</xdr:colOff>
      <xdr:row>14</xdr:row>
      <xdr:rowOff>38485</xdr:rowOff>
    </xdr:from>
    <xdr:to>
      <xdr:col>32</xdr:col>
      <xdr:colOff>81644</xdr:colOff>
      <xdr:row>15</xdr:row>
      <xdr:rowOff>81643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CDF0DB1C-C6C7-41B8-9502-EF35176B3E16}"/>
            </a:ext>
          </a:extLst>
        </xdr:cNvPr>
        <xdr:cNvSpPr txBox="1"/>
      </xdr:nvSpPr>
      <xdr:spPr>
        <a:xfrm>
          <a:off x="14254547" y="3834878"/>
          <a:ext cx="11530990" cy="28808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本制度は業務用冷凍冷蔵設備が補助対象のため、グリーン購入法の基準（基準対象に含まないもの：</a:t>
          </a:r>
          <a:r>
            <a:rPr lang="ja-JP" altLang="en-US"/>
            <a:t>業務の用に供するために製造されたもの ）は含みません。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6</xdr:col>
      <xdr:colOff>0</xdr:colOff>
      <xdr:row>49</xdr:row>
      <xdr:rowOff>219671</xdr:rowOff>
    </xdr:to>
    <xdr:sp macro="" textlink="">
      <xdr:nvSpPr>
        <xdr:cNvPr id="22" name="角丸四角形 15">
          <a:extLst>
            <a:ext uri="{FF2B5EF4-FFF2-40B4-BE49-F238E27FC236}">
              <a16:creationId xmlns:a16="http://schemas.microsoft.com/office/drawing/2014/main" id="{A02F3BAB-3BD4-4684-A65A-36AB3727896C}"/>
            </a:ext>
          </a:extLst>
        </xdr:cNvPr>
        <xdr:cNvSpPr/>
      </xdr:nvSpPr>
      <xdr:spPr>
        <a:xfrm>
          <a:off x="4488180" y="10774680"/>
          <a:ext cx="769620" cy="1591271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659241</xdr:colOff>
      <xdr:row>39</xdr:row>
      <xdr:rowOff>87086</xdr:rowOff>
    </xdr:from>
    <xdr:to>
      <xdr:col>6</xdr:col>
      <xdr:colOff>0</xdr:colOff>
      <xdr:row>41</xdr:row>
      <xdr:rowOff>67271</xdr:rowOff>
    </xdr:to>
    <xdr:sp macro="" textlink="">
      <xdr:nvSpPr>
        <xdr:cNvPr id="23" name="角丸四角形 17">
          <a:extLst>
            <a:ext uri="{FF2B5EF4-FFF2-40B4-BE49-F238E27FC236}">
              <a16:creationId xmlns:a16="http://schemas.microsoft.com/office/drawing/2014/main" id="{8407A2C7-3255-462D-9DD0-B1E510EBAF0F}"/>
            </a:ext>
          </a:extLst>
        </xdr:cNvPr>
        <xdr:cNvSpPr/>
      </xdr:nvSpPr>
      <xdr:spPr>
        <a:xfrm flipH="1">
          <a:off x="1459341" y="9718766"/>
          <a:ext cx="3798459" cy="437385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既存設備を導入した年度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187154</xdr:colOff>
      <xdr:row>41</xdr:row>
      <xdr:rowOff>69175</xdr:rowOff>
    </xdr:from>
    <xdr:to>
      <xdr:col>5</xdr:col>
      <xdr:colOff>386443</xdr:colOff>
      <xdr:row>43</xdr:row>
      <xdr:rowOff>239485</xdr:rowOff>
    </xdr:to>
    <xdr:cxnSp macro="">
      <xdr:nvCxnSpPr>
        <xdr:cNvPr id="24" name="カギ線コネクタ 19">
          <a:extLst>
            <a:ext uri="{FF2B5EF4-FFF2-40B4-BE49-F238E27FC236}">
              <a16:creationId xmlns:a16="http://schemas.microsoft.com/office/drawing/2014/main" id="{0DABFBD1-E199-4E0C-96C1-8EA944B33F2E}"/>
            </a:ext>
          </a:extLst>
        </xdr:cNvPr>
        <xdr:cNvCxnSpPr>
          <a:stCxn id="23" idx="2"/>
          <a:endCxn id="22" idx="0"/>
        </xdr:cNvCxnSpPr>
      </xdr:nvCxnSpPr>
      <xdr:spPr>
        <a:xfrm rot="16200000" flipH="1">
          <a:off x="4057364" y="9960685"/>
          <a:ext cx="619890" cy="1014629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1518843</xdr:colOff>
      <xdr:row>52</xdr:row>
      <xdr:rowOff>29621</xdr:rowOff>
    </xdr:from>
    <xdr:to>
      <xdr:col>8</xdr:col>
      <xdr:colOff>64657</xdr:colOff>
      <xdr:row>63</xdr:row>
      <xdr:rowOff>111387</xdr:rowOff>
    </xdr:to>
    <xdr:sp macro="" textlink="">
      <xdr:nvSpPr>
        <xdr:cNvPr id="25" name="角丸四角形 78">
          <a:extLst>
            <a:ext uri="{FF2B5EF4-FFF2-40B4-BE49-F238E27FC236}">
              <a16:creationId xmlns:a16="http://schemas.microsoft.com/office/drawing/2014/main" id="{DD0491D2-02A7-4D98-9B75-EB8E545B4D62}"/>
            </a:ext>
          </a:extLst>
        </xdr:cNvPr>
        <xdr:cNvSpPr/>
      </xdr:nvSpPr>
      <xdr:spPr>
        <a:xfrm flipH="1">
          <a:off x="3157143" y="12861701"/>
          <a:ext cx="3704554" cy="2596366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■冷凍室容積、冷蔵室容積、定格消費電力：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82586</xdr:colOff>
      <xdr:row>51</xdr:row>
      <xdr:rowOff>206822</xdr:rowOff>
    </xdr:from>
    <xdr:to>
      <xdr:col>15</xdr:col>
      <xdr:colOff>46392</xdr:colOff>
      <xdr:row>55</xdr:row>
      <xdr:rowOff>215153</xdr:rowOff>
    </xdr:to>
    <xdr:sp macro="" textlink="">
      <xdr:nvSpPr>
        <xdr:cNvPr id="26" name="角丸四角形 32">
          <a:extLst>
            <a:ext uri="{FF2B5EF4-FFF2-40B4-BE49-F238E27FC236}">
              <a16:creationId xmlns:a16="http://schemas.microsoft.com/office/drawing/2014/main" id="{26CEF654-0A6B-45F3-AB03-B137B9DCA6F1}"/>
            </a:ext>
          </a:extLst>
        </xdr:cNvPr>
        <xdr:cNvSpPr/>
      </xdr:nvSpPr>
      <xdr:spPr>
        <a:xfrm flipH="1">
          <a:off x="8336280" y="12810302"/>
          <a:ext cx="2355252" cy="922731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720987</xdr:colOff>
      <xdr:row>55</xdr:row>
      <xdr:rowOff>217058</xdr:rowOff>
    </xdr:from>
    <xdr:to>
      <xdr:col>13</xdr:col>
      <xdr:colOff>62583</xdr:colOff>
      <xdr:row>57</xdr:row>
      <xdr:rowOff>109892</xdr:rowOff>
    </xdr:to>
    <xdr:cxnSp macro="">
      <xdr:nvCxnSpPr>
        <xdr:cNvPr id="27" name="カギ線コネクタ 66">
          <a:extLst>
            <a:ext uri="{FF2B5EF4-FFF2-40B4-BE49-F238E27FC236}">
              <a16:creationId xmlns:a16="http://schemas.microsoft.com/office/drawing/2014/main" id="{465D75DD-D63B-40B7-9C6A-C69C74A180CF}"/>
            </a:ext>
          </a:extLst>
        </xdr:cNvPr>
        <xdr:cNvCxnSpPr>
          <a:stCxn id="34" idx="1"/>
          <a:endCxn id="26" idx="2"/>
        </xdr:cNvCxnSpPr>
      </xdr:nvCxnSpPr>
      <xdr:spPr>
        <a:xfrm flipV="1">
          <a:off x="8336280" y="13734938"/>
          <a:ext cx="832203" cy="350034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694502</xdr:colOff>
      <xdr:row>36</xdr:row>
      <xdr:rowOff>43479</xdr:rowOff>
    </xdr:from>
    <xdr:to>
      <xdr:col>17</xdr:col>
      <xdr:colOff>760095</xdr:colOff>
      <xdr:row>42</xdr:row>
      <xdr:rowOff>7429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687F0C60-880D-42D7-B217-95F8FAA2C522}"/>
            </a:ext>
          </a:extLst>
        </xdr:cNvPr>
        <xdr:cNvSpPr txBox="1"/>
      </xdr:nvSpPr>
      <xdr:spPr>
        <a:xfrm>
          <a:off x="9030782" y="8989359"/>
          <a:ext cx="5148133" cy="133555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年間運転時間について</a:t>
          </a:r>
          <a:endParaRPr kumimoji="1" lang="en-US" altLang="ja-JP" sz="1100" b="1"/>
        </a:p>
        <a:p>
          <a:r>
            <a:rPr kumimoji="1" lang="ja-JP" altLang="en-US" sz="1100"/>
            <a:t>年間運転時間は原則</a:t>
          </a:r>
          <a:r>
            <a:rPr kumimoji="1" lang="en-US" altLang="ja-JP" sz="1100"/>
            <a:t>8760</a:t>
          </a:r>
          <a:r>
            <a:rPr kumimoji="1" lang="ja-JP" altLang="en-US" sz="1100"/>
            <a:t>時間</a:t>
          </a:r>
          <a:r>
            <a:rPr kumimoji="1" lang="en-US" altLang="ja-JP" sz="1100"/>
            <a:t>(24×365)</a:t>
          </a:r>
          <a:r>
            <a:rPr kumimoji="1" lang="ja-JP" altLang="en-US" sz="1100"/>
            <a:t>で固定としています。それ以外の時間を使用する場合は事務局まで連絡してください。その場合、運転時間を確認できる客観的な資料を用意してください。</a:t>
          </a:r>
        </a:p>
      </xdr:txBody>
    </xdr:sp>
    <xdr:clientData/>
  </xdr:twoCellAnchor>
  <xdr:twoCellAnchor>
    <xdr:from>
      <xdr:col>16</xdr:col>
      <xdr:colOff>0</xdr:colOff>
      <xdr:row>51</xdr:row>
      <xdr:rowOff>209737</xdr:rowOff>
    </xdr:from>
    <xdr:to>
      <xdr:col>22</xdr:col>
      <xdr:colOff>515471</xdr:colOff>
      <xdr:row>63</xdr:row>
      <xdr:rowOff>0</xdr:rowOff>
    </xdr:to>
    <xdr:sp macro="" textlink="">
      <xdr:nvSpPr>
        <xdr:cNvPr id="29" name="角丸四角形 78">
          <a:extLst>
            <a:ext uri="{FF2B5EF4-FFF2-40B4-BE49-F238E27FC236}">
              <a16:creationId xmlns:a16="http://schemas.microsoft.com/office/drawing/2014/main" id="{14E6BC4A-904E-4858-A19F-11136F84A4AB}"/>
            </a:ext>
          </a:extLst>
        </xdr:cNvPr>
        <xdr:cNvSpPr/>
      </xdr:nvSpPr>
      <xdr:spPr>
        <a:xfrm flipH="1">
          <a:off x="12550140" y="12813217"/>
          <a:ext cx="5232251" cy="2533463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■型番、冷凍室容積、冷蔵室容積、定格消費電力、年間消費電力量：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527573</xdr:colOff>
      <xdr:row>44</xdr:row>
      <xdr:rowOff>17593</xdr:rowOff>
    </xdr:from>
    <xdr:to>
      <xdr:col>3</xdr:col>
      <xdr:colOff>0</xdr:colOff>
      <xdr:row>50</xdr:row>
      <xdr:rowOff>17593</xdr:rowOff>
    </xdr:to>
    <xdr:sp macro="" textlink="">
      <xdr:nvSpPr>
        <xdr:cNvPr id="30" name="角丸四角形 13">
          <a:extLst>
            <a:ext uri="{FF2B5EF4-FFF2-40B4-BE49-F238E27FC236}">
              <a16:creationId xmlns:a16="http://schemas.microsoft.com/office/drawing/2014/main" id="{315C39E8-DCC9-4AF5-AE77-4169D91EC07F}"/>
            </a:ext>
          </a:extLst>
        </xdr:cNvPr>
        <xdr:cNvSpPr/>
      </xdr:nvSpPr>
      <xdr:spPr>
        <a:xfrm>
          <a:off x="799716" y="11760557"/>
          <a:ext cx="846748" cy="1945822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7395</xdr:colOff>
      <xdr:row>51</xdr:row>
      <xdr:rowOff>29035</xdr:rowOff>
    </xdr:from>
    <xdr:to>
      <xdr:col>2</xdr:col>
      <xdr:colOff>634589</xdr:colOff>
      <xdr:row>54</xdr:row>
      <xdr:rowOff>229272</xdr:rowOff>
    </xdr:to>
    <xdr:sp macro="" textlink="">
      <xdr:nvSpPr>
        <xdr:cNvPr id="31" name="角丸四角形 12">
          <a:extLst>
            <a:ext uri="{FF2B5EF4-FFF2-40B4-BE49-F238E27FC236}">
              <a16:creationId xmlns:a16="http://schemas.microsoft.com/office/drawing/2014/main" id="{C82ECC33-8E3F-46A6-91B0-8669F6DBAE80}"/>
            </a:ext>
          </a:extLst>
        </xdr:cNvPr>
        <xdr:cNvSpPr/>
      </xdr:nvSpPr>
      <xdr:spPr>
        <a:xfrm flipH="1">
          <a:off x="281715" y="12632515"/>
          <a:ext cx="1152974" cy="886037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冷蔵の種別の選択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219895</xdr:colOff>
      <xdr:row>50</xdr:row>
      <xdr:rowOff>44824</xdr:rowOff>
    </xdr:from>
    <xdr:to>
      <xdr:col>2</xdr:col>
      <xdr:colOff>345813</xdr:colOff>
      <xdr:row>51</xdr:row>
      <xdr:rowOff>36096</xdr:rowOff>
    </xdr:to>
    <xdr:cxnSp macro="">
      <xdr:nvCxnSpPr>
        <xdr:cNvPr id="32" name="カギ線コネクタ 15">
          <a:extLst>
            <a:ext uri="{FF2B5EF4-FFF2-40B4-BE49-F238E27FC236}">
              <a16:creationId xmlns:a16="http://schemas.microsoft.com/office/drawing/2014/main" id="{AF7650D4-DAD6-4D6D-B7C3-493219FA0DB0}"/>
            </a:ext>
          </a:extLst>
        </xdr:cNvPr>
        <xdr:cNvCxnSpPr/>
      </xdr:nvCxnSpPr>
      <xdr:spPr>
        <a:xfrm rot="5400000">
          <a:off x="973018" y="12466681"/>
          <a:ext cx="219872" cy="125918"/>
        </a:xfrm>
        <a:prstGeom prst="bentConnector3">
          <a:avLst>
            <a:gd name="adj1" fmla="val 57991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8138</xdr:colOff>
      <xdr:row>43</xdr:row>
      <xdr:rowOff>227929</xdr:rowOff>
    </xdr:from>
    <xdr:to>
      <xdr:col>10</xdr:col>
      <xdr:colOff>0</xdr:colOff>
      <xdr:row>49</xdr:row>
      <xdr:rowOff>227929</xdr:rowOff>
    </xdr:to>
    <xdr:sp macro="" textlink="">
      <xdr:nvSpPr>
        <xdr:cNvPr id="33" name="角丸四角形 30">
          <a:extLst>
            <a:ext uri="{FF2B5EF4-FFF2-40B4-BE49-F238E27FC236}">
              <a16:creationId xmlns:a16="http://schemas.microsoft.com/office/drawing/2014/main" id="{86BC9070-7933-4E80-9E73-8DD3B5A4B7A0}"/>
            </a:ext>
          </a:extLst>
        </xdr:cNvPr>
        <xdr:cNvSpPr/>
      </xdr:nvSpPr>
      <xdr:spPr>
        <a:xfrm>
          <a:off x="7574798" y="10774009"/>
          <a:ext cx="761482" cy="1600200"/>
        </a:xfrm>
        <a:prstGeom prst="roundRect">
          <a:avLst>
            <a:gd name="adj" fmla="val 9204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99731</xdr:colOff>
      <xdr:row>53</xdr:row>
      <xdr:rowOff>11690</xdr:rowOff>
    </xdr:from>
    <xdr:to>
      <xdr:col>10</xdr:col>
      <xdr:colOff>720987</xdr:colOff>
      <xdr:row>61</xdr:row>
      <xdr:rowOff>206188</xdr:rowOff>
    </xdr:to>
    <xdr:sp macro="" textlink="">
      <xdr:nvSpPr>
        <xdr:cNvPr id="34" name="角丸四角形 78">
          <a:extLst>
            <a:ext uri="{FF2B5EF4-FFF2-40B4-BE49-F238E27FC236}">
              <a16:creationId xmlns:a16="http://schemas.microsoft.com/office/drawing/2014/main" id="{638450CA-4A20-4F21-9975-C19F3E5BF4FC}"/>
            </a:ext>
          </a:extLst>
        </xdr:cNvPr>
        <xdr:cNvSpPr/>
      </xdr:nvSpPr>
      <xdr:spPr>
        <a:xfrm flipH="1">
          <a:off x="6896771" y="13072370"/>
          <a:ext cx="1439509" cy="2023298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■年間消費電力量</a:t>
          </a:r>
          <a:r>
            <a:rPr kumimoji="1" lang="en-US" altLang="ja-JP" sz="1100">
              <a:solidFill>
                <a:sysClr val="windowText" lastClr="000000"/>
              </a:solidFill>
            </a:rPr>
            <a:t>: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仕様書等に基づいた値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chemeClr val="tx1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数値が不明な場合は未記入</a:t>
          </a:r>
          <a:endParaRPr lang="ja-JP" altLang="ja-JP">
            <a:solidFill>
              <a:schemeClr val="tx1"/>
            </a:solidFill>
            <a:effectLst/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  <a:p>
          <a:pPr algn="l"/>
          <a:endParaRPr kumimoji="1" lang="ja-JP" altLang="en-US" sz="1100">
            <a:solidFill>
              <a:schemeClr val="tx1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388598</xdr:colOff>
      <xdr:row>49</xdr:row>
      <xdr:rowOff>227929</xdr:rowOff>
    </xdr:from>
    <xdr:to>
      <xdr:col>9</xdr:col>
      <xdr:colOff>412263</xdr:colOff>
      <xdr:row>53</xdr:row>
      <xdr:rowOff>9785</xdr:rowOff>
    </xdr:to>
    <xdr:cxnSp macro="">
      <xdr:nvCxnSpPr>
        <xdr:cNvPr id="35" name="カギ線コネクタ 31">
          <a:extLst>
            <a:ext uri="{FF2B5EF4-FFF2-40B4-BE49-F238E27FC236}">
              <a16:creationId xmlns:a16="http://schemas.microsoft.com/office/drawing/2014/main" id="{DA5288E0-A6FB-4C76-AD8B-AF3562EDD33F}"/>
            </a:ext>
          </a:extLst>
        </xdr:cNvPr>
        <xdr:cNvCxnSpPr>
          <a:cxnSpLocks/>
          <a:stCxn id="33" idx="2"/>
          <a:endCxn id="34" idx="0"/>
        </xdr:cNvCxnSpPr>
      </xdr:nvCxnSpPr>
      <xdr:spPr>
        <a:xfrm rot="16200000" flipH="1">
          <a:off x="7618963" y="12710504"/>
          <a:ext cx="696256" cy="23665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10883</xdr:colOff>
      <xdr:row>0</xdr:row>
      <xdr:rowOff>314403</xdr:rowOff>
    </xdr:from>
    <xdr:to>
      <xdr:col>15</xdr:col>
      <xdr:colOff>11206</xdr:colOff>
      <xdr:row>2</xdr:row>
      <xdr:rowOff>96690</xdr:rowOff>
    </xdr:to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6AE6DAB9-B7F4-DFBE-7783-44B5FA798169}"/>
            </a:ext>
          </a:extLst>
        </xdr:cNvPr>
        <xdr:cNvSpPr txBox="1"/>
      </xdr:nvSpPr>
      <xdr:spPr>
        <a:xfrm>
          <a:off x="9154883" y="314403"/>
          <a:ext cx="1546735" cy="5779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000" b="1"/>
            <a:t>設</a:t>
          </a:r>
          <a:r>
            <a:rPr kumimoji="1" lang="ja-JP" altLang="en-US" sz="2000" b="1" baseline="0"/>
            <a:t> </a:t>
          </a:r>
          <a:r>
            <a:rPr kumimoji="1" lang="ja-JP" altLang="en-US" sz="2000" b="1"/>
            <a:t>備 例</a:t>
          </a:r>
        </a:p>
      </xdr:txBody>
    </xdr:sp>
    <xdr:clientData/>
  </xdr:twoCellAnchor>
  <xdr:twoCellAnchor>
    <xdr:from>
      <xdr:col>9</xdr:col>
      <xdr:colOff>291752</xdr:colOff>
      <xdr:row>2</xdr:row>
      <xdr:rowOff>88352</xdr:rowOff>
    </xdr:from>
    <xdr:to>
      <xdr:col>13</xdr:col>
      <xdr:colOff>358588</xdr:colOff>
      <xdr:row>15</xdr:row>
      <xdr:rowOff>0</xdr:rowOff>
    </xdr:to>
    <xdr:grpSp>
      <xdr:nvGrpSpPr>
        <xdr:cNvPr id="50" name="グループ化 49">
          <a:extLst>
            <a:ext uri="{FF2B5EF4-FFF2-40B4-BE49-F238E27FC236}">
              <a16:creationId xmlns:a16="http://schemas.microsoft.com/office/drawing/2014/main" id="{BC1475E2-8491-EC4E-2A52-71C6BE2CF7D1}"/>
            </a:ext>
          </a:extLst>
        </xdr:cNvPr>
        <xdr:cNvGrpSpPr/>
      </xdr:nvGrpSpPr>
      <xdr:grpSpPr>
        <a:xfrm>
          <a:off x="7898145" y="891173"/>
          <a:ext cx="2393657" cy="3150148"/>
          <a:chOff x="8686800" y="525717"/>
          <a:chExt cx="1429570" cy="2171118"/>
        </a:xfrm>
      </xdr:grpSpPr>
      <xdr:pic>
        <xdr:nvPicPr>
          <xdr:cNvPr id="39" name="図 38">
            <a:extLst>
              <a:ext uri="{FF2B5EF4-FFF2-40B4-BE49-F238E27FC236}">
                <a16:creationId xmlns:a16="http://schemas.microsoft.com/office/drawing/2014/main" id="{42C1B306-789A-7B73-75BA-54C71927D8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686800" y="525717"/>
            <a:ext cx="1429570" cy="1899237"/>
          </a:xfrm>
          <a:prstGeom prst="rect">
            <a:avLst/>
          </a:prstGeom>
        </xdr:spPr>
      </xdr:pic>
      <xdr:sp macro="" textlink="">
        <xdr:nvSpPr>
          <xdr:cNvPr id="49" name="テキスト ボックス 48">
            <a:extLst>
              <a:ext uri="{FF2B5EF4-FFF2-40B4-BE49-F238E27FC236}">
                <a16:creationId xmlns:a16="http://schemas.microsoft.com/office/drawing/2014/main" id="{DA6EB4E9-E158-4ED5-BD5F-259C51AA2834}"/>
              </a:ext>
            </a:extLst>
          </xdr:cNvPr>
          <xdr:cNvSpPr txBox="1"/>
        </xdr:nvSpPr>
        <xdr:spPr>
          <a:xfrm>
            <a:off x="8921832" y="2315835"/>
            <a:ext cx="93079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冷凍</a:t>
            </a:r>
            <a:r>
              <a:rPr kumimoji="1" lang="en-US" altLang="ja-JP" sz="1400" b="1">
                <a:latin typeface="+mn-ea"/>
                <a:ea typeface="+mn-ea"/>
              </a:rPr>
              <a:t>(</a:t>
            </a:r>
            <a:r>
              <a:rPr kumimoji="1" lang="ja-JP" altLang="en-US" sz="1400" b="1">
                <a:latin typeface="+mn-ea"/>
                <a:ea typeface="+mn-ea"/>
              </a:rPr>
              <a:t>冷蔵</a:t>
            </a:r>
            <a:r>
              <a:rPr kumimoji="1" lang="en-US" altLang="ja-JP" sz="1400" b="1">
                <a:latin typeface="+mn-ea"/>
                <a:ea typeface="+mn-ea"/>
              </a:rPr>
              <a:t>)</a:t>
            </a:r>
            <a:r>
              <a:rPr kumimoji="1" lang="ja-JP" altLang="en-US" sz="1400" b="1">
                <a:latin typeface="+mn-ea"/>
                <a:ea typeface="+mn-ea"/>
              </a:rPr>
              <a:t>庫</a:t>
            </a:r>
          </a:p>
        </xdr:txBody>
      </xdr:sp>
    </xdr:grpSp>
    <xdr:clientData/>
  </xdr:twoCellAnchor>
  <xdr:twoCellAnchor>
    <xdr:from>
      <xdr:col>14</xdr:col>
      <xdr:colOff>269902</xdr:colOff>
      <xdr:row>3</xdr:row>
      <xdr:rowOff>123459</xdr:rowOff>
    </xdr:from>
    <xdr:to>
      <xdr:col>15</xdr:col>
      <xdr:colOff>1904884</xdr:colOff>
      <xdr:row>11</xdr:row>
      <xdr:rowOff>24762</xdr:rowOff>
    </xdr:to>
    <xdr:grpSp>
      <xdr:nvGrpSpPr>
        <xdr:cNvPr id="52" name="グループ化 51">
          <a:extLst>
            <a:ext uri="{FF2B5EF4-FFF2-40B4-BE49-F238E27FC236}">
              <a16:creationId xmlns:a16="http://schemas.microsoft.com/office/drawing/2014/main" id="{7DD4D251-38BA-BFE0-0D58-52C6FA39C7CD}"/>
            </a:ext>
          </a:extLst>
        </xdr:cNvPr>
        <xdr:cNvGrpSpPr/>
      </xdr:nvGrpSpPr>
      <xdr:grpSpPr>
        <a:xfrm>
          <a:off x="10978723" y="1225638"/>
          <a:ext cx="2410590" cy="1860731"/>
          <a:chOff x="11335229" y="815791"/>
          <a:chExt cx="2267771" cy="1742863"/>
        </a:xfrm>
      </xdr:grpSpPr>
      <xdr:pic>
        <xdr:nvPicPr>
          <xdr:cNvPr id="47" name="図 46">
            <a:extLst>
              <a:ext uri="{FF2B5EF4-FFF2-40B4-BE49-F238E27FC236}">
                <a16:creationId xmlns:a16="http://schemas.microsoft.com/office/drawing/2014/main" id="{0D47C20B-F5FA-9AB8-BF18-27F93E9150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335229" y="815791"/>
            <a:ext cx="2267771" cy="1417401"/>
          </a:xfrm>
          <a:prstGeom prst="rect">
            <a:avLst/>
          </a:prstGeom>
        </xdr:spPr>
      </xdr:pic>
      <xdr:sp macro="" textlink="">
        <xdr:nvSpPr>
          <xdr:cNvPr id="51" name="テキスト ボックス 50">
            <a:extLst>
              <a:ext uri="{FF2B5EF4-FFF2-40B4-BE49-F238E27FC236}">
                <a16:creationId xmlns:a16="http://schemas.microsoft.com/office/drawing/2014/main" id="{C0404879-CC04-464D-8F8A-92B18222F3A3}"/>
              </a:ext>
            </a:extLst>
          </xdr:cNvPr>
          <xdr:cNvSpPr txBox="1"/>
        </xdr:nvSpPr>
        <xdr:spPr>
          <a:xfrm>
            <a:off x="11745496" y="2177654"/>
            <a:ext cx="1698171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コールドテーブル</a:t>
            </a:r>
          </a:p>
        </xdr:txBody>
      </xdr:sp>
    </xdr:grpSp>
    <xdr:clientData/>
  </xdr:twoCellAnchor>
  <xdr:twoCellAnchor>
    <xdr:from>
      <xdr:col>17</xdr:col>
      <xdr:colOff>17417</xdr:colOff>
      <xdr:row>8</xdr:row>
      <xdr:rowOff>25310</xdr:rowOff>
    </xdr:from>
    <xdr:to>
      <xdr:col>27</xdr:col>
      <xdr:colOff>13607</xdr:colOff>
      <xdr:row>9</xdr:row>
      <xdr:rowOff>27214</xdr:rowOff>
    </xdr:to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A6849D89-4339-44C2-A6C7-64D0A466A82A}"/>
            </a:ext>
          </a:extLst>
        </xdr:cNvPr>
        <xdr:cNvSpPr txBox="1"/>
      </xdr:nvSpPr>
      <xdr:spPr>
        <a:xfrm>
          <a:off x="15407096" y="2256881"/>
          <a:ext cx="7752261" cy="23322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エネルギーの削減に繋がらないため、容積の増加は原則認められません。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851535</xdr:colOff>
      <xdr:row>8</xdr:row>
      <xdr:rowOff>11702</xdr:rowOff>
    </xdr:from>
    <xdr:to>
      <xdr:col>29</xdr:col>
      <xdr:colOff>769892</xdr:colOff>
      <xdr:row>9</xdr:row>
      <xdr:rowOff>11703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33F53DF-6C18-4A0A-84E6-9DD422531113}"/>
            </a:ext>
          </a:extLst>
        </xdr:cNvPr>
        <xdr:cNvSpPr txBox="1"/>
      </xdr:nvSpPr>
      <xdr:spPr>
        <a:xfrm>
          <a:off x="20404999" y="2202452"/>
          <a:ext cx="7946572" cy="231322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エネルギーの削減に繋がらないため、定格能力の増加は原則認められません。</a:t>
          </a:r>
          <a:endParaRPr lang="en-US" altLang="ja-JP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816428</xdr:colOff>
      <xdr:row>15</xdr:row>
      <xdr:rowOff>204107</xdr:rowOff>
    </xdr:from>
    <xdr:to>
      <xdr:col>29</xdr:col>
      <xdr:colOff>598714</xdr:colOff>
      <xdr:row>16</xdr:row>
      <xdr:rowOff>211015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BA1EB1D9-E25A-41E0-95B3-9AFA9AD7AD77}"/>
            </a:ext>
          </a:extLst>
        </xdr:cNvPr>
        <xdr:cNvSpPr txBox="1"/>
      </xdr:nvSpPr>
      <xdr:spPr>
        <a:xfrm>
          <a:off x="17784535" y="4027714"/>
          <a:ext cx="7892143" cy="23823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後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：年間電力消費量＝定格消費電力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負荷率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台数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年間使用時間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24×365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※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負荷率は機器形式により設定</a:t>
          </a:r>
          <a:endParaRPr lang="ja-JP" altLang="en-US" sz="1100" b="0" i="0" u="none" strike="noStrike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en-US" sz="1100" b="0" i="0" u="none" strike="noStrike">
            <a:solidFill>
              <a:sysClr val="windowText" lastClr="000000"/>
            </a:solidFill>
            <a:effectLst/>
            <a:latin typeface="+mn-ea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台数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年間使用時間（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24×365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）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18</xdr:col>
      <xdr:colOff>818332</xdr:colOff>
      <xdr:row>16</xdr:row>
      <xdr:rowOff>211998</xdr:rowOff>
    </xdr:from>
    <xdr:to>
      <xdr:col>29</xdr:col>
      <xdr:colOff>598714</xdr:colOff>
      <xdr:row>18</xdr:row>
      <xdr:rowOff>0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359E5536-D969-4F7E-B786-FB294470CB4E}"/>
            </a:ext>
          </a:extLst>
        </xdr:cNvPr>
        <xdr:cNvSpPr txBox="1"/>
      </xdr:nvSpPr>
      <xdr:spPr>
        <a:xfrm>
          <a:off x="17010832" y="4457427"/>
          <a:ext cx="7890239" cy="277859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更新前後：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CO2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排出量＝年間電力消費量</a:t>
          </a:r>
          <a:r>
            <a:rPr lang="en-US" altLang="ja-JP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×</a:t>
          </a:r>
          <a:r>
            <a:rPr lang="ja-JP" altLang="en-US" sz="110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排出係数</a:t>
          </a:r>
          <a:endParaRPr lang="en-US" altLang="ja-JP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3</xdr:col>
      <xdr:colOff>581841</xdr:colOff>
      <xdr:row>51</xdr:row>
      <xdr:rowOff>155550</xdr:rowOff>
    </xdr:from>
    <xdr:to>
      <xdr:col>6</xdr:col>
      <xdr:colOff>1916054</xdr:colOff>
      <xdr:row>63</xdr:row>
      <xdr:rowOff>219939</xdr:rowOff>
    </xdr:to>
    <xdr:sp macro="" textlink="">
      <xdr:nvSpPr>
        <xdr:cNvPr id="5" name="角丸四角形 12">
          <a:extLst>
            <a:ext uri="{FF2B5EF4-FFF2-40B4-BE49-F238E27FC236}">
              <a16:creationId xmlns:a16="http://schemas.microsoft.com/office/drawing/2014/main" id="{FC0A07DA-0723-47F7-A11A-D3FE96D33EFB}"/>
            </a:ext>
          </a:extLst>
        </xdr:cNvPr>
        <xdr:cNvSpPr/>
      </xdr:nvSpPr>
      <xdr:spPr>
        <a:xfrm flipH="1">
          <a:off x="3670662" y="14293371"/>
          <a:ext cx="3797106" cy="3003532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</a:rPr>
            <a:t>型番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●型番が不明な場合の記載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・「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規格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冷凍容量、冷蔵容量</a:t>
          </a:r>
          <a:r>
            <a:rPr kumimoji="1" lang="ja-JP" altLang="ja-JP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」</a:t>
          </a:r>
          <a:r>
            <a:rPr kumimoji="1" lang="ja-JP" altLang="en-US" sz="11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など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・どういった規格の設備か分かるように記載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0</xdr:colOff>
      <xdr:row>43</xdr:row>
      <xdr:rowOff>204107</xdr:rowOff>
    </xdr:from>
    <xdr:to>
      <xdr:col>7</xdr:col>
      <xdr:colOff>0</xdr:colOff>
      <xdr:row>49</xdr:row>
      <xdr:rowOff>204108</xdr:rowOff>
    </xdr:to>
    <xdr:sp macro="" textlink="">
      <xdr:nvSpPr>
        <xdr:cNvPr id="6" name="角丸四角形 13">
          <a:extLst>
            <a:ext uri="{FF2B5EF4-FFF2-40B4-BE49-F238E27FC236}">
              <a16:creationId xmlns:a16="http://schemas.microsoft.com/office/drawing/2014/main" id="{F06BB19C-E504-4809-9995-36FB4E85A9C5}"/>
            </a:ext>
          </a:extLst>
        </xdr:cNvPr>
        <xdr:cNvSpPr/>
      </xdr:nvSpPr>
      <xdr:spPr>
        <a:xfrm>
          <a:off x="5551714" y="11783786"/>
          <a:ext cx="2354036" cy="2068286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17502</xdr:colOff>
      <xdr:row>49</xdr:row>
      <xdr:rowOff>204108</xdr:rowOff>
    </xdr:from>
    <xdr:to>
      <xdr:col>6</xdr:col>
      <xdr:colOff>1177019</xdr:colOff>
      <xdr:row>51</xdr:row>
      <xdr:rowOff>155550</xdr:rowOff>
    </xdr:to>
    <xdr:cxnSp macro="">
      <xdr:nvCxnSpPr>
        <xdr:cNvPr id="7" name="カギ線コネクタ 15">
          <a:extLst>
            <a:ext uri="{FF2B5EF4-FFF2-40B4-BE49-F238E27FC236}">
              <a16:creationId xmlns:a16="http://schemas.microsoft.com/office/drawing/2014/main" id="{DD88ED76-A857-43FB-919D-68814E9C3DF9}"/>
            </a:ext>
          </a:extLst>
        </xdr:cNvPr>
        <xdr:cNvCxnSpPr>
          <a:stCxn id="6" idx="2"/>
          <a:endCxn id="5" idx="0"/>
        </xdr:cNvCxnSpPr>
      </xdr:nvCxnSpPr>
      <xdr:spPr>
        <a:xfrm rot="5400000">
          <a:off x="5928325" y="13492963"/>
          <a:ext cx="441299" cy="1159517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747849</xdr:colOff>
      <xdr:row>44</xdr:row>
      <xdr:rowOff>27486</xdr:rowOff>
    </xdr:from>
    <xdr:to>
      <xdr:col>11</xdr:col>
      <xdr:colOff>923381</xdr:colOff>
      <xdr:row>50</xdr:row>
      <xdr:rowOff>29391</xdr:rowOff>
    </xdr:to>
    <xdr:sp macro="" textlink="">
      <xdr:nvSpPr>
        <xdr:cNvPr id="8" name="角丸四角形 30">
          <a:extLst>
            <a:ext uri="{FF2B5EF4-FFF2-40B4-BE49-F238E27FC236}">
              <a16:creationId xmlns:a16="http://schemas.microsoft.com/office/drawing/2014/main" id="{B34B259B-C19A-4D6B-BFAE-8020EAAFA81D}"/>
            </a:ext>
          </a:extLst>
        </xdr:cNvPr>
        <xdr:cNvSpPr/>
      </xdr:nvSpPr>
      <xdr:spPr>
        <a:xfrm>
          <a:off x="10196649" y="11664315"/>
          <a:ext cx="1721303" cy="2048419"/>
        </a:xfrm>
        <a:prstGeom prst="roundRect">
          <a:avLst>
            <a:gd name="adj" fmla="val 8446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290375</xdr:colOff>
      <xdr:row>50</xdr:row>
      <xdr:rowOff>31296</xdr:rowOff>
    </xdr:from>
    <xdr:to>
      <xdr:col>11</xdr:col>
      <xdr:colOff>62730</xdr:colOff>
      <xdr:row>52</xdr:row>
      <xdr:rowOff>79695</xdr:rowOff>
    </xdr:to>
    <xdr:cxnSp macro="">
      <xdr:nvCxnSpPr>
        <xdr:cNvPr id="9" name="カギ線コネクタ 31">
          <a:extLst>
            <a:ext uri="{FF2B5EF4-FFF2-40B4-BE49-F238E27FC236}">
              <a16:creationId xmlns:a16="http://schemas.microsoft.com/office/drawing/2014/main" id="{60656460-C697-471B-A927-3415B64FF922}"/>
            </a:ext>
          </a:extLst>
        </xdr:cNvPr>
        <xdr:cNvCxnSpPr>
          <a:cxnSpLocks/>
          <a:stCxn id="8" idx="2"/>
          <a:endCxn id="25" idx="0"/>
        </xdr:cNvCxnSpPr>
      </xdr:nvCxnSpPr>
      <xdr:spPr>
        <a:xfrm rot="5400000">
          <a:off x="10134553" y="13319261"/>
          <a:ext cx="527370" cy="1318126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47930</xdr:colOff>
      <xdr:row>55</xdr:row>
      <xdr:rowOff>24187</xdr:rowOff>
    </xdr:from>
    <xdr:to>
      <xdr:col>28</xdr:col>
      <xdr:colOff>292330</xdr:colOff>
      <xdr:row>56</xdr:row>
      <xdr:rowOff>148411</xdr:rowOff>
    </xdr:to>
    <xdr:cxnSp macro="">
      <xdr:nvCxnSpPr>
        <xdr:cNvPr id="10" name="カギ線コネクタ 87">
          <a:extLst>
            <a:ext uri="{FF2B5EF4-FFF2-40B4-BE49-F238E27FC236}">
              <a16:creationId xmlns:a16="http://schemas.microsoft.com/office/drawing/2014/main" id="{33C27274-D1EC-44ED-A1A6-555A5F90BD73}"/>
            </a:ext>
          </a:extLst>
        </xdr:cNvPr>
        <xdr:cNvCxnSpPr>
          <a:cxnSpLocks/>
        </xdr:cNvCxnSpPr>
      </xdr:nvCxnSpPr>
      <xdr:spPr>
        <a:xfrm flipV="1">
          <a:off x="22298330" y="14904958"/>
          <a:ext cx="1790171" cy="363710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217714</xdr:colOff>
      <xdr:row>51</xdr:row>
      <xdr:rowOff>34562</xdr:rowOff>
    </xdr:from>
    <xdr:to>
      <xdr:col>30</xdr:col>
      <xdr:colOff>119743</xdr:colOff>
      <xdr:row>55</xdr:row>
      <xdr:rowOff>22193</xdr:rowOff>
    </xdr:to>
    <xdr:sp macro="" textlink="">
      <xdr:nvSpPr>
        <xdr:cNvPr id="11" name="角丸四角形 88">
          <a:extLst>
            <a:ext uri="{FF2B5EF4-FFF2-40B4-BE49-F238E27FC236}">
              <a16:creationId xmlns:a16="http://schemas.microsoft.com/office/drawing/2014/main" id="{90205D5C-74B6-48EA-A2C8-3DD7B2C836E1}"/>
            </a:ext>
          </a:extLst>
        </xdr:cNvPr>
        <xdr:cNvSpPr/>
      </xdr:nvSpPr>
      <xdr:spPr>
        <a:xfrm flipH="1">
          <a:off x="22468114" y="13957391"/>
          <a:ext cx="2993572" cy="945573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更新後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22</xdr:col>
      <xdr:colOff>115661</xdr:colOff>
      <xdr:row>49</xdr:row>
      <xdr:rowOff>231321</xdr:rowOff>
    </xdr:from>
    <xdr:to>
      <xdr:col>22</xdr:col>
      <xdr:colOff>851535</xdr:colOff>
      <xdr:row>50</xdr:row>
      <xdr:rowOff>234316</xdr:rowOff>
    </xdr:to>
    <xdr:cxnSp macro="">
      <xdr:nvCxnSpPr>
        <xdr:cNvPr id="12" name="カギ線コネクタ 91">
          <a:extLst>
            <a:ext uri="{FF2B5EF4-FFF2-40B4-BE49-F238E27FC236}">
              <a16:creationId xmlns:a16="http://schemas.microsoft.com/office/drawing/2014/main" id="{3A6B73B7-BDFD-4192-A4AB-AF01F351955F}"/>
            </a:ext>
          </a:extLst>
        </xdr:cNvPr>
        <xdr:cNvCxnSpPr>
          <a:cxnSpLocks/>
          <a:stCxn id="20" idx="2"/>
          <a:endCxn id="54" idx="0"/>
        </xdr:cNvCxnSpPr>
      </xdr:nvCxnSpPr>
      <xdr:spPr>
        <a:xfrm rot="16200000" flipH="1">
          <a:off x="20593457" y="13635310"/>
          <a:ext cx="247924" cy="735874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</xdr:colOff>
      <xdr:row>12</xdr:row>
      <xdr:rowOff>231320</xdr:rowOff>
    </xdr:from>
    <xdr:to>
      <xdr:col>6</xdr:col>
      <xdr:colOff>1665516</xdr:colOff>
      <xdr:row>16</xdr:row>
      <xdr:rowOff>231320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FCD71463-CC61-45C0-AF7F-B1D4B29DC144}"/>
            </a:ext>
          </a:extLst>
        </xdr:cNvPr>
        <xdr:cNvSpPr txBox="1"/>
      </xdr:nvSpPr>
      <xdr:spPr>
        <a:xfrm>
          <a:off x="272144" y="3464377"/>
          <a:ext cx="6945086" cy="957943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 b="1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記入例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を参考に設備更新による削減量を算定してください。</a:t>
          </a:r>
          <a:endParaRPr kumimoji="1" lang="en-US" altLang="ja-JP" sz="16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↓ハイパーリンク（クリックで記入例へ移動します。）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12</xdr:col>
      <xdr:colOff>0</xdr:colOff>
      <xdr:row>16</xdr:row>
      <xdr:rowOff>0</xdr:rowOff>
    </xdr:from>
    <xdr:to>
      <xdr:col>17</xdr:col>
      <xdr:colOff>1883229</xdr:colOff>
      <xdr:row>18</xdr:row>
      <xdr:rowOff>225885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FDB6D774-D646-4961-A4F8-5AC35A8550C2}"/>
            </a:ext>
          </a:extLst>
        </xdr:cNvPr>
        <xdr:cNvGrpSpPr/>
      </xdr:nvGrpSpPr>
      <xdr:grpSpPr>
        <a:xfrm>
          <a:off x="11171464" y="4245429"/>
          <a:ext cx="4210051" cy="715742"/>
          <a:chOff x="7808257" y="2518206"/>
          <a:chExt cx="2783012" cy="628408"/>
        </a:xfrm>
      </xdr:grpSpPr>
      <xdr:grpSp>
        <xdr:nvGrpSpPr>
          <xdr:cNvPr id="15" name="グループ化 14">
            <a:extLst>
              <a:ext uri="{FF2B5EF4-FFF2-40B4-BE49-F238E27FC236}">
                <a16:creationId xmlns:a16="http://schemas.microsoft.com/office/drawing/2014/main" id="{5BD758F4-210A-381E-8BB3-BD09622A6CB5}"/>
              </a:ext>
            </a:extLst>
          </xdr:cNvPr>
          <xdr:cNvGrpSpPr/>
        </xdr:nvGrpSpPr>
        <xdr:grpSpPr>
          <a:xfrm>
            <a:off x="7808257" y="2518206"/>
            <a:ext cx="2783012" cy="628408"/>
            <a:chOff x="17123227" y="2975963"/>
            <a:chExt cx="2793020" cy="616323"/>
          </a:xfrm>
        </xdr:grpSpPr>
        <xdr:sp macro="" textlink="">
          <xdr:nvSpPr>
            <xdr:cNvPr id="17" name="テキスト ボックス 16">
              <a:extLst>
                <a:ext uri="{FF2B5EF4-FFF2-40B4-BE49-F238E27FC236}">
                  <a16:creationId xmlns:a16="http://schemas.microsoft.com/office/drawing/2014/main" id="{980929A1-A26D-4E81-E9BC-521827DC508C}"/>
                </a:ext>
              </a:extLst>
            </xdr:cNvPr>
            <xdr:cNvSpPr txBox="1"/>
          </xdr:nvSpPr>
          <xdr:spPr>
            <a:xfrm>
              <a:off x="17123227" y="2975963"/>
              <a:ext cx="2793020" cy="616323"/>
            </a:xfrm>
            <a:prstGeom prst="rect">
              <a:avLst/>
            </a:prstGeom>
            <a:solidFill>
              <a:sysClr val="window" lastClr="FFFFFF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●凡例</a:t>
              </a:r>
            </a:p>
          </xdr:txBody>
        </xdr:sp>
        <xdr:sp macro="" textlink="">
          <xdr:nvSpPr>
            <xdr:cNvPr id="18" name="テキスト ボックス 17">
              <a:extLst>
                <a:ext uri="{FF2B5EF4-FFF2-40B4-BE49-F238E27FC236}">
                  <a16:creationId xmlns:a16="http://schemas.microsoft.com/office/drawing/2014/main" id="{5ADB44E4-5A00-5B4C-4992-7328712284AE}"/>
                </a:ext>
              </a:extLst>
            </xdr:cNvPr>
            <xdr:cNvSpPr txBox="1"/>
          </xdr:nvSpPr>
          <xdr:spPr>
            <a:xfrm>
              <a:off x="17351828" y="3251553"/>
              <a:ext cx="772886" cy="286305"/>
            </a:xfrm>
            <a:prstGeom prst="rect">
              <a:avLst/>
            </a:prstGeom>
            <a:solidFill>
              <a:srgbClr val="FFF2CC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入力セル</a:t>
              </a:r>
            </a:p>
          </xdr:txBody>
        </xdr:sp>
        <xdr:sp macro="" textlink="">
          <xdr:nvSpPr>
            <xdr:cNvPr id="19" name="テキスト ボックス 18">
              <a:extLst>
                <a:ext uri="{FF2B5EF4-FFF2-40B4-BE49-F238E27FC236}">
                  <a16:creationId xmlns:a16="http://schemas.microsoft.com/office/drawing/2014/main" id="{3143CA19-C069-6C6D-F087-55A7E6F349BC}"/>
                </a:ext>
              </a:extLst>
            </xdr:cNvPr>
            <xdr:cNvSpPr txBox="1"/>
          </xdr:nvSpPr>
          <xdr:spPr>
            <a:xfrm>
              <a:off x="18196139" y="3251552"/>
              <a:ext cx="772886" cy="286306"/>
            </a:xfrm>
            <a:prstGeom prst="rect">
              <a:avLst/>
            </a:prstGeom>
            <a:solidFill>
              <a:schemeClr val="accent6">
                <a:lumMod val="20000"/>
                <a:lumOff val="80000"/>
              </a:schemeClr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kumimoji="1" lang="ja-JP" altLang="en-US" sz="1100"/>
                <a:t>選択セル</a:t>
              </a:r>
            </a:p>
          </xdr:txBody>
        </xdr:sp>
      </xdr:grpSp>
      <xdr:sp macro="" textlink="">
        <xdr:nvSpPr>
          <xdr:cNvPr id="16" name="テキスト ボックス 15">
            <a:extLst>
              <a:ext uri="{FF2B5EF4-FFF2-40B4-BE49-F238E27FC236}">
                <a16:creationId xmlns:a16="http://schemas.microsoft.com/office/drawing/2014/main" id="{CBDFD657-E524-9315-1FFF-5522BAF063A0}"/>
              </a:ext>
            </a:extLst>
          </xdr:cNvPr>
          <xdr:cNvSpPr txBox="1"/>
        </xdr:nvSpPr>
        <xdr:spPr>
          <a:xfrm>
            <a:off x="9717741" y="2804307"/>
            <a:ext cx="770117" cy="289370"/>
          </a:xfrm>
          <a:prstGeom prst="rect">
            <a:avLst/>
          </a:prstGeom>
          <a:noFill/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kumimoji="1" lang="ja-JP" altLang="en-US" sz="1100"/>
              <a:t>入力不要</a:t>
            </a:r>
          </a:p>
        </xdr:txBody>
      </xdr:sp>
    </xdr:grpSp>
    <xdr:clientData/>
  </xdr:twoCellAnchor>
  <xdr:twoCellAnchor>
    <xdr:from>
      <xdr:col>21</xdr:col>
      <xdr:colOff>54429</xdr:colOff>
      <xdr:row>44</xdr:row>
      <xdr:rowOff>27213</xdr:rowOff>
    </xdr:from>
    <xdr:to>
      <xdr:col>22</xdr:col>
      <xdr:colOff>952500</xdr:colOff>
      <xdr:row>49</xdr:row>
      <xdr:rowOff>231321</xdr:rowOff>
    </xdr:to>
    <xdr:sp macro="" textlink="">
      <xdr:nvSpPr>
        <xdr:cNvPr id="20" name="角丸四角形 45">
          <a:extLst>
            <a:ext uri="{FF2B5EF4-FFF2-40B4-BE49-F238E27FC236}">
              <a16:creationId xmlns:a16="http://schemas.microsoft.com/office/drawing/2014/main" id="{C6DC5AE9-6357-4EFD-B022-D054475E1211}"/>
            </a:ext>
          </a:extLst>
        </xdr:cNvPr>
        <xdr:cNvSpPr/>
      </xdr:nvSpPr>
      <xdr:spPr>
        <a:xfrm>
          <a:off x="19512643" y="11851820"/>
          <a:ext cx="1673678" cy="2027465"/>
        </a:xfrm>
        <a:prstGeom prst="roundRect">
          <a:avLst>
            <a:gd name="adj" fmla="val 6625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729343</xdr:colOff>
      <xdr:row>43</xdr:row>
      <xdr:rowOff>217714</xdr:rowOff>
    </xdr:from>
    <xdr:to>
      <xdr:col>8</xdr:col>
      <xdr:colOff>729344</xdr:colOff>
      <xdr:row>49</xdr:row>
      <xdr:rowOff>197899</xdr:rowOff>
    </xdr:to>
    <xdr:sp macro="" textlink="">
      <xdr:nvSpPr>
        <xdr:cNvPr id="22" name="角丸四角形 15">
          <a:extLst>
            <a:ext uri="{FF2B5EF4-FFF2-40B4-BE49-F238E27FC236}">
              <a16:creationId xmlns:a16="http://schemas.microsoft.com/office/drawing/2014/main" id="{41B39AE1-CF86-4A92-91AD-A54064C1196E}"/>
            </a:ext>
          </a:extLst>
        </xdr:cNvPr>
        <xdr:cNvSpPr/>
      </xdr:nvSpPr>
      <xdr:spPr>
        <a:xfrm>
          <a:off x="8632372" y="11615057"/>
          <a:ext cx="772886" cy="2026699"/>
        </a:xfrm>
        <a:prstGeom prst="roundRect">
          <a:avLst/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1332251</xdr:colOff>
      <xdr:row>38</xdr:row>
      <xdr:rowOff>43543</xdr:rowOff>
    </xdr:from>
    <xdr:to>
      <xdr:col>9</xdr:col>
      <xdr:colOff>491763</xdr:colOff>
      <xdr:row>40</xdr:row>
      <xdr:rowOff>25632</xdr:rowOff>
    </xdr:to>
    <xdr:sp macro="" textlink="">
      <xdr:nvSpPr>
        <xdr:cNvPr id="23" name="角丸四角形 17">
          <a:extLst>
            <a:ext uri="{FF2B5EF4-FFF2-40B4-BE49-F238E27FC236}">
              <a16:creationId xmlns:a16="http://schemas.microsoft.com/office/drawing/2014/main" id="{8917CCE3-0E56-4FA2-90B2-E30672FB86D8}"/>
            </a:ext>
          </a:extLst>
        </xdr:cNvPr>
        <xdr:cNvSpPr/>
      </xdr:nvSpPr>
      <xdr:spPr>
        <a:xfrm flipH="1">
          <a:off x="6883965" y="10243457"/>
          <a:ext cx="3056598" cy="461061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■必要な記載：</a:t>
          </a:r>
          <a:r>
            <a:rPr kumimoji="1" lang="ja-JP" altLang="en-US" sz="1100" b="1">
              <a:solidFill>
                <a:sysClr val="windowText" lastClr="000000"/>
              </a:solidFill>
            </a:rPr>
            <a:t>既存設備を導入した年度</a:t>
          </a:r>
          <a:endParaRPr kumimoji="1" lang="en-US" altLang="ja-JP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509236</xdr:colOff>
      <xdr:row>40</xdr:row>
      <xdr:rowOff>27536</xdr:rowOff>
    </xdr:from>
    <xdr:to>
      <xdr:col>8</xdr:col>
      <xdr:colOff>340997</xdr:colOff>
      <xdr:row>43</xdr:row>
      <xdr:rowOff>219618</xdr:rowOff>
    </xdr:to>
    <xdr:cxnSp macro="">
      <xdr:nvCxnSpPr>
        <xdr:cNvPr id="24" name="カギ線コネクタ 19">
          <a:extLst>
            <a:ext uri="{FF2B5EF4-FFF2-40B4-BE49-F238E27FC236}">
              <a16:creationId xmlns:a16="http://schemas.microsoft.com/office/drawing/2014/main" id="{6A093935-E31E-4008-9043-CBCEF35EB926}"/>
            </a:ext>
          </a:extLst>
        </xdr:cNvPr>
        <xdr:cNvCxnSpPr>
          <a:stCxn id="23" idx="2"/>
          <a:endCxn id="22" idx="0"/>
        </xdr:cNvCxnSpPr>
      </xdr:nvCxnSpPr>
      <xdr:spPr>
        <a:xfrm rot="16200000" flipH="1">
          <a:off x="8259318" y="10859369"/>
          <a:ext cx="910539" cy="604646"/>
        </a:xfrm>
        <a:prstGeom prst="bentConnector3">
          <a:avLst>
            <a:gd name="adj1" fmla="val 50000"/>
          </a:avLst>
        </a:prstGeom>
        <a:ln w="3810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2135504</xdr:colOff>
      <xdr:row>52</xdr:row>
      <xdr:rowOff>81600</xdr:rowOff>
    </xdr:from>
    <xdr:to>
      <xdr:col>11</xdr:col>
      <xdr:colOff>796562</xdr:colOff>
      <xdr:row>63</xdr:row>
      <xdr:rowOff>97251</xdr:rowOff>
    </xdr:to>
    <xdr:sp macro="" textlink="">
      <xdr:nvSpPr>
        <xdr:cNvPr id="25" name="角丸四角形 78">
          <a:extLst>
            <a:ext uri="{FF2B5EF4-FFF2-40B4-BE49-F238E27FC236}">
              <a16:creationId xmlns:a16="http://schemas.microsoft.com/office/drawing/2014/main" id="{40142F6F-EAC2-4A95-B4FF-8FB06448C502}"/>
            </a:ext>
          </a:extLst>
        </xdr:cNvPr>
        <xdr:cNvSpPr/>
      </xdr:nvSpPr>
      <xdr:spPr>
        <a:xfrm flipH="1">
          <a:off x="7687218" y="14243914"/>
          <a:ext cx="4103915" cy="2649994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■定格能力、定格消費電力：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12</xdr:col>
      <xdr:colOff>0</xdr:colOff>
      <xdr:row>51</xdr:row>
      <xdr:rowOff>224752</xdr:rowOff>
    </xdr:from>
    <xdr:to>
      <xdr:col>17</xdr:col>
      <xdr:colOff>1589314</xdr:colOff>
      <xdr:row>56</xdr:row>
      <xdr:rowOff>0</xdr:rowOff>
    </xdr:to>
    <xdr:sp macro="" textlink="">
      <xdr:nvSpPr>
        <xdr:cNvPr id="26" name="角丸四角形 32">
          <a:extLst>
            <a:ext uri="{FF2B5EF4-FFF2-40B4-BE49-F238E27FC236}">
              <a16:creationId xmlns:a16="http://schemas.microsoft.com/office/drawing/2014/main" id="{9B68EC04-7EB5-4CAD-BC7F-BF0C1666EE08}"/>
            </a:ext>
          </a:extLst>
        </xdr:cNvPr>
        <xdr:cNvSpPr/>
      </xdr:nvSpPr>
      <xdr:spPr>
        <a:xfrm flipH="1">
          <a:off x="11930743" y="14147581"/>
          <a:ext cx="3907971" cy="972676"/>
        </a:xfrm>
        <a:prstGeom prst="roundRect">
          <a:avLst/>
        </a:prstGeom>
        <a:solidFill>
          <a:schemeClr val="accent2">
            <a:lumMod val="20000"/>
            <a:lumOff val="80000"/>
          </a:schemeClr>
        </a:solidFill>
        <a:ln w="1905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提出書類（必須）：</a:t>
          </a:r>
          <a:r>
            <a:rPr kumimoji="1" lang="ja-JP" altLang="en-US" sz="1100" b="1">
              <a:solidFill>
                <a:srgbClr val="FF0000"/>
              </a:solidFill>
            </a:rPr>
            <a:t>更新前</a:t>
          </a:r>
          <a:r>
            <a:rPr kumimoji="1" lang="ja-JP" altLang="en-US" sz="1100" b="1">
              <a:solidFill>
                <a:sysClr val="windowText" lastClr="000000"/>
              </a:solidFill>
            </a:rPr>
            <a:t>設備の「仕様書、カタログ」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 b="1">
              <a:solidFill>
                <a:sysClr val="windowText" lastClr="000000"/>
              </a:solidFill>
            </a:rPr>
            <a:t>（算定に用いた値が確認できる資料）</a:t>
          </a:r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796562</xdr:colOff>
      <xdr:row>56</xdr:row>
      <xdr:rowOff>0</xdr:rowOff>
    </xdr:from>
    <xdr:to>
      <xdr:col>16</xdr:col>
      <xdr:colOff>408214</xdr:colOff>
      <xdr:row>57</xdr:row>
      <xdr:rowOff>210121</xdr:rowOff>
    </xdr:to>
    <xdr:cxnSp macro="">
      <xdr:nvCxnSpPr>
        <xdr:cNvPr id="27" name="カギ線コネクタ 66">
          <a:extLst>
            <a:ext uri="{FF2B5EF4-FFF2-40B4-BE49-F238E27FC236}">
              <a16:creationId xmlns:a16="http://schemas.microsoft.com/office/drawing/2014/main" id="{D147A6E8-A48B-45BA-A63B-D26CEE8C34C3}"/>
            </a:ext>
          </a:extLst>
        </xdr:cNvPr>
        <xdr:cNvCxnSpPr>
          <a:stCxn id="25" idx="1"/>
          <a:endCxn id="26" idx="2"/>
        </xdr:cNvCxnSpPr>
      </xdr:nvCxnSpPr>
      <xdr:spPr>
        <a:xfrm flipV="1">
          <a:off x="11791133" y="15120257"/>
          <a:ext cx="2093595" cy="449607"/>
        </a:xfrm>
        <a:prstGeom prst="bentConnector2">
          <a:avLst/>
        </a:prstGeom>
        <a:ln w="38100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820238</xdr:colOff>
      <xdr:row>15</xdr:row>
      <xdr:rowOff>0</xdr:rowOff>
    </xdr:from>
    <xdr:to>
      <xdr:col>29</xdr:col>
      <xdr:colOff>585107</xdr:colOff>
      <xdr:row>15</xdr:row>
      <xdr:rowOff>204107</xdr:rowOff>
    </xdr:to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F1BE66DF-B22D-452F-944A-8877DA754ABF}"/>
            </a:ext>
          </a:extLst>
        </xdr:cNvPr>
        <xdr:cNvSpPr txBox="1"/>
      </xdr:nvSpPr>
      <xdr:spPr>
        <a:xfrm>
          <a:off x="17788345" y="3823607"/>
          <a:ext cx="7874726" cy="204107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更新前：</a:t>
          </a:r>
          <a:r>
            <a:rPr lang="en-US" altLang="ja-JP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HP</a:t>
          </a:r>
          <a:r>
            <a:rPr lang="ja-JP" altLang="en-US" sz="1050" b="0" i="0" u="none" strike="noStrike">
              <a:solidFill>
                <a:sysClr val="windowText" lastClr="000000"/>
              </a:solidFill>
              <a:effectLst/>
              <a:latin typeface="+mn-ea"/>
              <a:ea typeface="+mn-ea"/>
              <a:cs typeface="+mn-cs"/>
            </a:rPr>
            <a:t>老朽化消費倍率＝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（（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申請年度－更新前設備導入年度）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×0.02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＋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</a:t>
          </a:r>
          <a:r>
            <a:rPr lang="ja-JP" altLang="en-US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×100</a:t>
          </a:r>
          <a:endParaRPr lang="en-US" altLang="ja-JP" sz="1050">
            <a:solidFill>
              <a:sysClr val="windowText" lastClr="000000"/>
            </a:solidFill>
            <a:latin typeface="+mn-ea"/>
            <a:ea typeface="+mn-ea"/>
          </a:endParaRPr>
        </a:p>
      </xdr:txBody>
    </xdr:sp>
    <xdr:clientData/>
  </xdr:twoCellAnchor>
  <xdr:twoCellAnchor>
    <xdr:from>
      <xdr:col>20</xdr:col>
      <xdr:colOff>630010</xdr:colOff>
      <xdr:row>50</xdr:row>
      <xdr:rowOff>234316</xdr:rowOff>
    </xdr:from>
    <xdr:to>
      <xdr:col>26</xdr:col>
      <xdr:colOff>106952</xdr:colOff>
      <xdr:row>62</xdr:row>
      <xdr:rowOff>12387</xdr:rowOff>
    </xdr:to>
    <xdr:sp macro="" textlink="">
      <xdr:nvSpPr>
        <xdr:cNvPr id="54" name="角丸四角形 78">
          <a:extLst>
            <a:ext uri="{FF2B5EF4-FFF2-40B4-BE49-F238E27FC236}">
              <a16:creationId xmlns:a16="http://schemas.microsoft.com/office/drawing/2014/main" id="{D148357A-37F3-453F-8684-A2C567616540}"/>
            </a:ext>
          </a:extLst>
        </xdr:cNvPr>
        <xdr:cNvSpPr/>
      </xdr:nvSpPr>
      <xdr:spPr>
        <a:xfrm flipH="1">
          <a:off x="19015981" y="13917659"/>
          <a:ext cx="3341371" cy="2651899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■定格能力、定格消費電力：</a:t>
          </a:r>
          <a:r>
            <a:rPr kumimoji="1" lang="ja-JP" altLang="en-US" sz="1100" b="1">
              <a:solidFill>
                <a:sysClr val="windowText" lastClr="000000"/>
              </a:solidFill>
            </a:rPr>
            <a:t>仕様書に基づいた値</a:t>
          </a:r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endParaRPr kumimoji="1" lang="en-US" altLang="ja-JP" sz="1100" b="1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●仕様が不明な場合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省エネ診断</a:t>
          </a:r>
          <a:r>
            <a:rPr kumimoji="0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で確認が取れた消費電力等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・省エネルギー法等を順守した資料に基づく消費電力等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★要点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・根拠に基づいた値を記載</a:t>
          </a:r>
          <a:endParaRPr kumimoji="1" lang="en-US" altLang="ja-JP" sz="11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・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根拠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資料は提出が必要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32657</xdr:colOff>
      <xdr:row>52</xdr:row>
      <xdr:rowOff>199753</xdr:rowOff>
    </xdr:from>
    <xdr:to>
      <xdr:col>3</xdr:col>
      <xdr:colOff>348341</xdr:colOff>
      <xdr:row>63</xdr:row>
      <xdr:rowOff>72934</xdr:rowOff>
    </xdr:to>
    <xdr:sp macro="" textlink="">
      <xdr:nvSpPr>
        <xdr:cNvPr id="62" name="角丸四角形 12">
          <a:extLst>
            <a:ext uri="{FF2B5EF4-FFF2-40B4-BE49-F238E27FC236}">
              <a16:creationId xmlns:a16="http://schemas.microsoft.com/office/drawing/2014/main" id="{A0766943-26E8-497B-8DAE-E7F75EBF7042}"/>
            </a:ext>
          </a:extLst>
        </xdr:cNvPr>
        <xdr:cNvSpPr/>
      </xdr:nvSpPr>
      <xdr:spPr>
        <a:xfrm flipH="1">
          <a:off x="827314" y="14362067"/>
          <a:ext cx="2601684" cy="2507524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既設機器の基本的な仕様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冷蔵区分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ショーケース形式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コンプレッサインバータの有無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(5</a:t>
          </a:r>
          <a:r>
            <a:rPr kumimoji="1" lang="ja-JP" altLang="en-US" sz="1100">
              <a:solidFill>
                <a:sysClr val="windowText" lastClr="000000"/>
              </a:solidFill>
            </a:rPr>
            <a:t>段階制御はインバータ有を選択</a:t>
          </a:r>
          <a:r>
            <a:rPr kumimoji="1" lang="en-US" altLang="ja-JP" sz="1100">
              <a:solidFill>
                <a:sysClr val="windowText" lastClr="000000"/>
              </a:solidFill>
            </a:rPr>
            <a:t>)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仕様が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不明な場合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空白のまま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</xdr:col>
      <xdr:colOff>1333500</xdr:colOff>
      <xdr:row>50</xdr:row>
      <xdr:rowOff>1905</xdr:rowOff>
    </xdr:from>
    <xdr:to>
      <xdr:col>4</xdr:col>
      <xdr:colOff>423455</xdr:colOff>
      <xdr:row>52</xdr:row>
      <xdr:rowOff>197848</xdr:rowOff>
    </xdr:to>
    <xdr:cxnSp macro="">
      <xdr:nvCxnSpPr>
        <xdr:cNvPr id="63" name="カギ線コネクタ 15">
          <a:extLst>
            <a:ext uri="{FF2B5EF4-FFF2-40B4-BE49-F238E27FC236}">
              <a16:creationId xmlns:a16="http://schemas.microsoft.com/office/drawing/2014/main" id="{F294DA15-6202-4840-ABAA-E688E8F7DE7B}"/>
            </a:ext>
          </a:extLst>
        </xdr:cNvPr>
        <xdr:cNvCxnSpPr>
          <a:stCxn id="65" idx="2"/>
          <a:endCxn id="62" idx="0"/>
        </xdr:cNvCxnSpPr>
      </xdr:nvCxnSpPr>
      <xdr:spPr>
        <a:xfrm rot="5400000">
          <a:off x="2902676" y="12773569"/>
          <a:ext cx="668383" cy="2206535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2281917</xdr:colOff>
      <xdr:row>44</xdr:row>
      <xdr:rowOff>1905</xdr:rowOff>
    </xdr:from>
    <xdr:to>
      <xdr:col>6</xdr:col>
      <xdr:colOff>35651</xdr:colOff>
      <xdr:row>50</xdr:row>
      <xdr:rowOff>1905</xdr:rowOff>
    </xdr:to>
    <xdr:sp macro="" textlink="">
      <xdr:nvSpPr>
        <xdr:cNvPr id="65" name="角丸四角形 13">
          <a:extLst>
            <a:ext uri="{FF2B5EF4-FFF2-40B4-BE49-F238E27FC236}">
              <a16:creationId xmlns:a16="http://schemas.microsoft.com/office/drawing/2014/main" id="{AF612E49-C311-4A4F-A19D-4E16BA2D6C06}"/>
            </a:ext>
          </a:extLst>
        </xdr:cNvPr>
        <xdr:cNvSpPr/>
      </xdr:nvSpPr>
      <xdr:spPr>
        <a:xfrm>
          <a:off x="3082017" y="11515725"/>
          <a:ext cx="2516234" cy="2026920"/>
        </a:xfrm>
        <a:prstGeom prst="roundRect">
          <a:avLst>
            <a:gd name="adj" fmla="val 10816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2010589</xdr:colOff>
      <xdr:row>51</xdr:row>
      <xdr:rowOff>65858</xdr:rowOff>
    </xdr:from>
    <xdr:to>
      <xdr:col>20</xdr:col>
      <xdr:colOff>568503</xdr:colOff>
      <xdr:row>64</xdr:row>
      <xdr:rowOff>163286</xdr:rowOff>
    </xdr:to>
    <xdr:sp macro="" textlink="">
      <xdr:nvSpPr>
        <xdr:cNvPr id="69" name="角丸四角形 12">
          <a:extLst>
            <a:ext uri="{FF2B5EF4-FFF2-40B4-BE49-F238E27FC236}">
              <a16:creationId xmlns:a16="http://schemas.microsoft.com/office/drawing/2014/main" id="{0EF1CE7D-1CC5-4B66-A683-3DCD3F881EC3}"/>
            </a:ext>
          </a:extLst>
        </xdr:cNvPr>
        <xdr:cNvSpPr/>
      </xdr:nvSpPr>
      <xdr:spPr>
        <a:xfrm flipH="1">
          <a:off x="16259989" y="13988687"/>
          <a:ext cx="2694485" cy="3210742"/>
        </a:xfrm>
        <a:prstGeom prst="roundRect">
          <a:avLst/>
        </a:prstGeom>
        <a:solidFill>
          <a:schemeClr val="bg1"/>
        </a:solidFill>
        <a:ln w="190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■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必要な記載：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既設機器の基本的な仕様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冷蔵区分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ショーケース形式</a:t>
          </a:r>
        </a:p>
        <a:p>
          <a:pPr algn="l"/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コンプレッサインバータの有無</a:t>
          </a:r>
        </a:p>
        <a:p>
          <a:pPr algn="l"/>
          <a:r>
            <a:rPr kumimoji="1" lang="en-US" altLang="ja-JP" sz="1100">
              <a:solidFill>
                <a:sysClr val="windowText" lastClr="000000"/>
              </a:solidFill>
            </a:rPr>
            <a:t>(5</a:t>
          </a:r>
          <a:r>
            <a:rPr kumimoji="1" lang="ja-JP" altLang="en-US" sz="1100">
              <a:solidFill>
                <a:sysClr val="windowText" lastClr="000000"/>
              </a:solidFill>
            </a:rPr>
            <a:t>段階制御はインバータ有を選択</a:t>
          </a:r>
          <a:r>
            <a:rPr kumimoji="1" lang="en-US" altLang="ja-JP" sz="1100">
              <a:solidFill>
                <a:sysClr val="windowText" lastClr="000000"/>
              </a:solidFill>
            </a:rPr>
            <a:t>)</a:t>
          </a: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仕様が</a:t>
          </a:r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不明な場合</a:t>
          </a:r>
          <a:endParaRPr lang="ja-JP" altLang="ja-JP">
            <a:solidFill>
              <a:sysClr val="windowText" lastClr="000000"/>
            </a:solidFill>
            <a:effectLst/>
          </a:endParaRPr>
        </a:p>
        <a:p>
          <a:r>
            <a:rPr kumimoji="1" lang="ja-JP" altLang="ja-JP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・</a:t>
          </a:r>
          <a:r>
            <a:rPr kumimoji="1" lang="ja-JP" altLang="en-US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空白のまま</a:t>
          </a:r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endParaRPr kumimoji="1" lang="en-US" altLang="ja-JP" sz="110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★要点</a:t>
          </a:r>
          <a:endParaRPr lang="ja-JP" altLang="ja-JP">
            <a:solidFill>
              <a:schemeClr val="tx1"/>
            </a:solidFill>
            <a:effectLst/>
          </a:endParaRPr>
        </a:p>
        <a:p>
          <a:r>
            <a:rPr kumimoji="1" lang="ja-JP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・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冷凍</a:t>
          </a:r>
          <a:r>
            <a:rPr kumimoji="1" lang="en-US" altLang="ja-JP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冷蔵区分、蒸発温度の変更は原則不可</a:t>
          </a:r>
          <a:endParaRPr kumimoji="1" lang="en-US" altLang="ja-JP" sz="11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l"/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17</xdr:col>
      <xdr:colOff>2692581</xdr:colOff>
      <xdr:row>43</xdr:row>
      <xdr:rowOff>210638</xdr:rowOff>
    </xdr:from>
    <xdr:to>
      <xdr:col>20</xdr:col>
      <xdr:colOff>65315</xdr:colOff>
      <xdr:row>50</xdr:row>
      <xdr:rowOff>54428</xdr:rowOff>
    </xdr:to>
    <xdr:sp macro="" textlink="">
      <xdr:nvSpPr>
        <xdr:cNvPr id="73" name="角丸四角形 13">
          <a:extLst>
            <a:ext uri="{FF2B5EF4-FFF2-40B4-BE49-F238E27FC236}">
              <a16:creationId xmlns:a16="http://schemas.microsoft.com/office/drawing/2014/main" id="{C1E40729-B4F4-46C4-849F-0E097F4B6951}"/>
            </a:ext>
          </a:extLst>
        </xdr:cNvPr>
        <xdr:cNvSpPr/>
      </xdr:nvSpPr>
      <xdr:spPr>
        <a:xfrm>
          <a:off x="16941981" y="11607981"/>
          <a:ext cx="1509305" cy="2129790"/>
        </a:xfrm>
        <a:prstGeom prst="roundRect">
          <a:avLst>
            <a:gd name="adj" fmla="val 10816"/>
          </a:avLst>
        </a:prstGeom>
        <a:noFill/>
        <a:ln w="38100">
          <a:solidFill>
            <a:srgbClr val="00B0F0"/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ctr"/>
        <a:lstStyle/>
        <a:p>
          <a:pPr algn="l"/>
          <a:endParaRPr kumimoji="1" lang="ja-JP" alt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658174</xdr:colOff>
      <xdr:row>50</xdr:row>
      <xdr:rowOff>58238</xdr:rowOff>
    </xdr:from>
    <xdr:to>
      <xdr:col>18</xdr:col>
      <xdr:colOff>749482</xdr:colOff>
      <xdr:row>51</xdr:row>
      <xdr:rowOff>65858</xdr:rowOff>
    </xdr:to>
    <xdr:cxnSp macro="">
      <xdr:nvCxnSpPr>
        <xdr:cNvPr id="74" name="カギ線コネクタ 15">
          <a:extLst>
            <a:ext uri="{FF2B5EF4-FFF2-40B4-BE49-F238E27FC236}">
              <a16:creationId xmlns:a16="http://schemas.microsoft.com/office/drawing/2014/main" id="{335CF145-B213-4420-9924-7D8D6D16713F}"/>
            </a:ext>
          </a:extLst>
        </xdr:cNvPr>
        <xdr:cNvCxnSpPr>
          <a:stCxn id="73" idx="2"/>
          <a:endCxn id="69" idx="0"/>
        </xdr:cNvCxnSpPr>
      </xdr:nvCxnSpPr>
      <xdr:spPr>
        <a:xfrm rot="5400000">
          <a:off x="17529332" y="13819480"/>
          <a:ext cx="247106" cy="91308"/>
        </a:xfrm>
        <a:prstGeom prst="bentConnector3">
          <a:avLst>
            <a:gd name="adj1" fmla="val 50000"/>
          </a:avLst>
        </a:prstGeom>
        <a:ln w="31750">
          <a:solidFill>
            <a:srgbClr val="00B0F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272143</xdr:colOff>
      <xdr:row>36</xdr:row>
      <xdr:rowOff>119743</xdr:rowOff>
    </xdr:from>
    <xdr:to>
      <xdr:col>17</xdr:col>
      <xdr:colOff>1405785</xdr:colOff>
      <xdr:row>42</xdr:row>
      <xdr:rowOff>43368</xdr:rowOff>
    </xdr:to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77AE9299-FDDF-4033-BB0D-EBDF3205BF05}"/>
            </a:ext>
          </a:extLst>
        </xdr:cNvPr>
        <xdr:cNvSpPr txBox="1"/>
      </xdr:nvSpPr>
      <xdr:spPr>
        <a:xfrm>
          <a:off x="10493829" y="9840686"/>
          <a:ext cx="5161356" cy="1360539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  <a:ln w="19050" cmpd="sng">
          <a:solidFill>
            <a:schemeClr val="accent4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■</a:t>
          </a:r>
          <a:r>
            <a:rPr kumimoji="1" lang="ja-JP" altLang="en-US" sz="1100" b="1"/>
            <a:t>年間運転時間について</a:t>
          </a:r>
          <a:endParaRPr kumimoji="1" lang="en-US" altLang="ja-JP" sz="1100" b="1"/>
        </a:p>
        <a:p>
          <a:r>
            <a:rPr kumimoji="1" lang="ja-JP" altLang="en-US" sz="1100"/>
            <a:t>年間運転時間は原則</a:t>
          </a:r>
          <a:r>
            <a:rPr kumimoji="1" lang="en-US" altLang="ja-JP" sz="1100"/>
            <a:t>8760</a:t>
          </a:r>
          <a:r>
            <a:rPr kumimoji="1" lang="ja-JP" altLang="en-US" sz="1100"/>
            <a:t>時間</a:t>
          </a:r>
          <a:r>
            <a:rPr kumimoji="1" lang="en-US" altLang="ja-JP" sz="1100"/>
            <a:t>(24×365)</a:t>
          </a:r>
          <a:r>
            <a:rPr kumimoji="1" lang="ja-JP" altLang="en-US" sz="1100"/>
            <a:t>で固定としています。それ以外の時間を使用する場合は事務局まで連絡してください。その場合、運転時間を確認できる客観的な資料を用意してください。</a:t>
          </a:r>
        </a:p>
      </xdr:txBody>
    </xdr:sp>
    <xdr:clientData/>
  </xdr:twoCellAnchor>
  <xdr:twoCellAnchor>
    <xdr:from>
      <xdr:col>15</xdr:col>
      <xdr:colOff>421821</xdr:colOff>
      <xdr:row>1</xdr:row>
      <xdr:rowOff>278402</xdr:rowOff>
    </xdr:from>
    <xdr:to>
      <xdr:col>17</xdr:col>
      <xdr:colOff>830035</xdr:colOff>
      <xdr:row>3</xdr:row>
      <xdr:rowOff>189684</xdr:rowOff>
    </xdr:to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ECB77B5-C78D-4B2C-B24C-3173A9D5E422}"/>
            </a:ext>
          </a:extLst>
        </xdr:cNvPr>
        <xdr:cNvSpPr txBox="1"/>
      </xdr:nvSpPr>
      <xdr:spPr>
        <a:xfrm>
          <a:off x="12368892" y="659402"/>
          <a:ext cx="1959429" cy="5916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kumimoji="1" lang="ja-JP" altLang="en-US" sz="2000" b="1"/>
            <a:t>設</a:t>
          </a:r>
          <a:r>
            <a:rPr kumimoji="1" lang="ja-JP" altLang="en-US" sz="2000" b="1" baseline="0"/>
            <a:t> </a:t>
          </a:r>
          <a:r>
            <a:rPr kumimoji="1" lang="ja-JP" altLang="en-US" sz="2000" b="1"/>
            <a:t>備 例</a:t>
          </a:r>
        </a:p>
      </xdr:txBody>
    </xdr:sp>
    <xdr:clientData/>
  </xdr:twoCellAnchor>
  <xdr:twoCellAnchor>
    <xdr:from>
      <xdr:col>9</xdr:col>
      <xdr:colOff>661034</xdr:colOff>
      <xdr:row>4</xdr:row>
      <xdr:rowOff>16772</xdr:rowOff>
    </xdr:from>
    <xdr:to>
      <xdr:col>15</xdr:col>
      <xdr:colOff>326572</xdr:colOff>
      <xdr:row>14</xdr:row>
      <xdr:rowOff>83548</xdr:rowOff>
    </xdr:to>
    <xdr:grpSp>
      <xdr:nvGrpSpPr>
        <xdr:cNvPr id="36" name="グループ化 35">
          <a:extLst>
            <a:ext uri="{FF2B5EF4-FFF2-40B4-BE49-F238E27FC236}">
              <a16:creationId xmlns:a16="http://schemas.microsoft.com/office/drawing/2014/main" id="{0F993D15-08E0-8130-A573-886D545A11D5}"/>
            </a:ext>
          </a:extLst>
        </xdr:cNvPr>
        <xdr:cNvGrpSpPr/>
      </xdr:nvGrpSpPr>
      <xdr:grpSpPr>
        <a:xfrm>
          <a:off x="9456964" y="1323058"/>
          <a:ext cx="2816679" cy="2516061"/>
          <a:chOff x="10930597" y="1226875"/>
          <a:chExt cx="1612107" cy="2372045"/>
        </a:xfrm>
      </xdr:grpSpPr>
      <xdr:pic>
        <xdr:nvPicPr>
          <xdr:cNvPr id="29" name="図 28">
            <a:extLst>
              <a:ext uri="{FF2B5EF4-FFF2-40B4-BE49-F238E27FC236}">
                <a16:creationId xmlns:a16="http://schemas.microsoft.com/office/drawing/2014/main" id="{4F536DBD-E5BF-BA9A-9E99-1EA3443FDF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29934" y="1226875"/>
            <a:ext cx="1333164" cy="2073325"/>
          </a:xfrm>
          <a:prstGeom prst="rect">
            <a:avLst/>
          </a:prstGeom>
        </xdr:spPr>
      </xdr:pic>
      <xdr:sp macro="" textlink="">
        <xdr:nvSpPr>
          <xdr:cNvPr id="35" name="テキスト ボックス 34">
            <a:extLst>
              <a:ext uri="{FF2B5EF4-FFF2-40B4-BE49-F238E27FC236}">
                <a16:creationId xmlns:a16="http://schemas.microsoft.com/office/drawing/2014/main" id="{5CCB936A-45FD-4204-80BD-1DE816242DB2}"/>
              </a:ext>
            </a:extLst>
          </xdr:cNvPr>
          <xdr:cNvSpPr txBox="1"/>
        </xdr:nvSpPr>
        <xdr:spPr>
          <a:xfrm>
            <a:off x="10930597" y="3217920"/>
            <a:ext cx="1612107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冷凍機内蔵型ショーケース</a:t>
            </a:r>
          </a:p>
        </xdr:txBody>
      </xdr:sp>
    </xdr:grpSp>
    <xdr:clientData/>
  </xdr:twoCellAnchor>
  <xdr:twoCellAnchor>
    <xdr:from>
      <xdr:col>15</xdr:col>
      <xdr:colOff>635904</xdr:colOff>
      <xdr:row>5</xdr:row>
      <xdr:rowOff>46542</xdr:rowOff>
    </xdr:from>
    <xdr:to>
      <xdr:col>17</xdr:col>
      <xdr:colOff>1278922</xdr:colOff>
      <xdr:row>14</xdr:row>
      <xdr:rowOff>85998</xdr:rowOff>
    </xdr:to>
    <xdr:grpSp>
      <xdr:nvGrpSpPr>
        <xdr:cNvPr id="38" name="グループ化 37">
          <a:extLst>
            <a:ext uri="{FF2B5EF4-FFF2-40B4-BE49-F238E27FC236}">
              <a16:creationId xmlns:a16="http://schemas.microsoft.com/office/drawing/2014/main" id="{1A95036E-61EF-3C0E-6A5D-E8ECB0B183B6}"/>
            </a:ext>
          </a:extLst>
        </xdr:cNvPr>
        <xdr:cNvGrpSpPr/>
      </xdr:nvGrpSpPr>
      <xdr:grpSpPr>
        <a:xfrm>
          <a:off x="12582975" y="1597756"/>
          <a:ext cx="2194233" cy="2243813"/>
          <a:chOff x="13074737" y="1607669"/>
          <a:chExt cx="2187035" cy="2115246"/>
        </a:xfrm>
      </xdr:grpSpPr>
      <xdr:pic>
        <xdr:nvPicPr>
          <xdr:cNvPr id="31" name="図 30">
            <a:extLst>
              <a:ext uri="{FF2B5EF4-FFF2-40B4-BE49-F238E27FC236}">
                <a16:creationId xmlns:a16="http://schemas.microsoft.com/office/drawing/2014/main" id="{84E50D07-D8A8-94ED-0E21-8E880DFF26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074737" y="1607669"/>
            <a:ext cx="2010872" cy="1647159"/>
          </a:xfrm>
          <a:prstGeom prst="rect">
            <a:avLst/>
          </a:prstGeom>
        </xdr:spPr>
      </xdr:pic>
      <xdr:sp macro="" textlink="">
        <xdr:nvSpPr>
          <xdr:cNvPr id="37" name="テキスト ボックス 36">
            <a:extLst>
              <a:ext uri="{FF2B5EF4-FFF2-40B4-BE49-F238E27FC236}">
                <a16:creationId xmlns:a16="http://schemas.microsoft.com/office/drawing/2014/main" id="{591A493E-3E3A-4087-A57A-5B522CC562A4}"/>
              </a:ext>
            </a:extLst>
          </xdr:cNvPr>
          <xdr:cNvSpPr txBox="1"/>
        </xdr:nvSpPr>
        <xdr:spPr>
          <a:xfrm>
            <a:off x="13117286" y="3341915"/>
            <a:ext cx="214448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コンデンシングユニット</a:t>
            </a:r>
          </a:p>
        </xdr:txBody>
      </xdr:sp>
    </xdr:grpSp>
    <xdr:clientData/>
  </xdr:twoCellAnchor>
  <xdr:twoCellAnchor>
    <xdr:from>
      <xdr:col>17</xdr:col>
      <xdr:colOff>1544139</xdr:colOff>
      <xdr:row>3</xdr:row>
      <xdr:rowOff>117837</xdr:rowOff>
    </xdr:from>
    <xdr:to>
      <xdr:col>19</xdr:col>
      <xdr:colOff>496295</xdr:colOff>
      <xdr:row>13</xdr:row>
      <xdr:rowOff>130629</xdr:rowOff>
    </xdr:to>
    <xdr:grpSp>
      <xdr:nvGrpSpPr>
        <xdr:cNvPr id="40" name="グループ化 39">
          <a:extLst>
            <a:ext uri="{FF2B5EF4-FFF2-40B4-BE49-F238E27FC236}">
              <a16:creationId xmlns:a16="http://schemas.microsoft.com/office/drawing/2014/main" id="{FE0EAEDB-0642-682E-5E87-6C473F3D79FF}"/>
            </a:ext>
          </a:extLst>
        </xdr:cNvPr>
        <xdr:cNvGrpSpPr/>
      </xdr:nvGrpSpPr>
      <xdr:grpSpPr>
        <a:xfrm>
          <a:off x="15042425" y="1179194"/>
          <a:ext cx="2503620" cy="2462078"/>
          <a:chOff x="15860486" y="1317171"/>
          <a:chExt cx="2428509" cy="2318658"/>
        </a:xfrm>
      </xdr:grpSpPr>
      <xdr:pic>
        <xdr:nvPicPr>
          <xdr:cNvPr id="33" name="図 32">
            <a:extLst>
              <a:ext uri="{FF2B5EF4-FFF2-40B4-BE49-F238E27FC236}">
                <a16:creationId xmlns:a16="http://schemas.microsoft.com/office/drawing/2014/main" id="{4D84F71A-96FB-42B4-611C-23B479914E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860486" y="1317171"/>
            <a:ext cx="2352845" cy="1894114"/>
          </a:xfrm>
          <a:prstGeom prst="rect">
            <a:avLst/>
          </a:prstGeom>
        </xdr:spPr>
      </xdr:pic>
      <xdr:sp macro="" textlink="">
        <xdr:nvSpPr>
          <xdr:cNvPr id="39" name="テキスト ボックス 38">
            <a:extLst>
              <a:ext uri="{FF2B5EF4-FFF2-40B4-BE49-F238E27FC236}">
                <a16:creationId xmlns:a16="http://schemas.microsoft.com/office/drawing/2014/main" id="{EB3028C2-2191-4CA9-BE5C-DB12497E7606}"/>
              </a:ext>
            </a:extLst>
          </xdr:cNvPr>
          <xdr:cNvSpPr txBox="1"/>
        </xdr:nvSpPr>
        <xdr:spPr>
          <a:xfrm>
            <a:off x="16144509" y="3254829"/>
            <a:ext cx="2144486" cy="381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kumimoji="1" lang="ja-JP" altLang="en-US" sz="1400" b="1">
                <a:latin typeface="+mn-ea"/>
                <a:ea typeface="+mn-ea"/>
              </a:rPr>
              <a:t>冷凍冷蔵ユニット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10</xdr:row>
      <xdr:rowOff>0</xdr:rowOff>
    </xdr:from>
    <xdr:to>
      <xdr:col>15</xdr:col>
      <xdr:colOff>0</xdr:colOff>
      <xdr:row>12</xdr:row>
      <xdr:rowOff>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pSpPr/>
      </xdr:nvGrpSpPr>
      <xdr:grpSpPr>
        <a:xfrm>
          <a:off x="9906000" y="2721429"/>
          <a:ext cx="2558143" cy="489857"/>
          <a:chOff x="11843657" y="2763050"/>
          <a:chExt cx="2705136" cy="457200"/>
        </a:xfrm>
      </xdr:grpSpPr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11843657" y="2763050"/>
            <a:ext cx="2705136" cy="2286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年間消費電力量</a:t>
            </a:r>
            <a:r>
              <a:rPr lang="en-US" altLang="ja-JP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(E=a×n×b)</a:t>
            </a:r>
            <a:endParaRPr lang="en-US" altLang="ja-JP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  <xdr:sp macro="" textlink="">
        <xdr:nvSpPr>
          <xdr:cNvPr id="6" name="テキスト ボックス 5">
            <a:extLst>
              <a:ext uri="{FF2B5EF4-FFF2-40B4-BE49-F238E27FC236}">
                <a16:creationId xmlns:a16="http://schemas.microsoft.com/office/drawing/2014/main" id="{00000000-0008-0000-0700-000006000000}"/>
              </a:ext>
            </a:extLst>
          </xdr:cNvPr>
          <xdr:cNvSpPr txBox="1"/>
        </xdr:nvSpPr>
        <xdr:spPr>
          <a:xfrm>
            <a:off x="11843657" y="2991650"/>
            <a:ext cx="2705136" cy="228600"/>
          </a:xfrm>
          <a:prstGeom prst="rect">
            <a:avLst/>
          </a:prstGeom>
          <a:solidFill>
            <a:sysClr val="window" lastClr="FFFFFF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3600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ja-JP" altLang="en-US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年間燃料消費量</a:t>
            </a:r>
            <a:r>
              <a:rPr lang="en-US" altLang="ja-JP" sz="1100" b="0" i="0" u="none" strike="noStrike">
                <a:solidFill>
                  <a:sysClr val="windowText" lastClr="000000"/>
                </a:solidFill>
                <a:effectLst/>
                <a:latin typeface="+mn-ea"/>
                <a:ea typeface="+mn-ea"/>
                <a:cs typeface="+mn-cs"/>
              </a:rPr>
              <a:t>(F=A×n×b)</a:t>
            </a:r>
            <a:endParaRPr lang="en-US" altLang="ja-JP">
              <a:solidFill>
                <a:sysClr val="windowText" lastClr="000000"/>
              </a:solidFill>
              <a:latin typeface="+mn-ea"/>
              <a:ea typeface="+mn-ea"/>
            </a:endParaRPr>
          </a:p>
        </xdr:txBody>
      </xdr:sp>
    </xdr:grpSp>
    <xdr:clientData/>
  </xdr:twoCellAnchor>
  <xdr:twoCellAnchor>
    <xdr:from>
      <xdr:col>3</xdr:col>
      <xdr:colOff>98613</xdr:colOff>
      <xdr:row>9</xdr:row>
      <xdr:rowOff>161364</xdr:rowOff>
    </xdr:from>
    <xdr:to>
      <xdr:col>9</xdr:col>
      <xdr:colOff>663389</xdr:colOff>
      <xdr:row>11</xdr:row>
      <xdr:rowOff>100289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2420472" y="2626658"/>
          <a:ext cx="5567082" cy="405090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en-US" sz="16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各設備シートで算定できない場合等にご利用ください。</a:t>
          </a:r>
          <a:endParaRPr kumimoji="1" lang="en-US" altLang="ja-JP" sz="1600">
            <a:solidFill>
              <a:sysClr val="windowText" lastClr="000000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38100">
          <a:solidFill>
            <a:srgbClr val="00B0F0"/>
          </a:solidFill>
          <a:prstDash val="sysDot"/>
        </a:ln>
      </a:spPr>
      <a:bodyPr vertOverflow="clip" horzOverflow="clip" tIns="0" bIns="0" rtlCol="0" anchor="ctr"/>
      <a:lstStyle>
        <a:defPPr algn="l">
          <a:defRPr kumimoji="1" sz="1100">
            <a:solidFill>
              <a:sysClr val="windowText" lastClr="000000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6"/>
  <sheetViews>
    <sheetView zoomScaleNormal="100" workbookViewId="0">
      <selection activeCell="N13" sqref="N13"/>
    </sheetView>
  </sheetViews>
  <sheetFormatPr defaultRowHeight="18.75"/>
  <cols>
    <col min="1" max="1" width="4.875" customWidth="1"/>
    <col min="2" max="2" width="5.875" customWidth="1"/>
    <col min="3" max="3" width="23.25" bestFit="1" customWidth="1"/>
    <col min="4" max="11" width="10.875" customWidth="1"/>
    <col min="12" max="12" width="12.625" customWidth="1"/>
    <col min="13" max="15" width="10.875" customWidth="1"/>
    <col min="16" max="16" width="14.375" bestFit="1" customWidth="1"/>
  </cols>
  <sheetData>
    <row r="1" spans="1:10" ht="30">
      <c r="A1" s="11" t="s">
        <v>1028</v>
      </c>
      <c r="G1" s="195"/>
    </row>
    <row r="2" spans="1:10">
      <c r="G2" s="110"/>
      <c r="J2" s="74"/>
    </row>
    <row r="3" spans="1:10">
      <c r="A3">
        <v>1</v>
      </c>
      <c r="B3" t="s">
        <v>1032</v>
      </c>
    </row>
    <row r="4" spans="1:10">
      <c r="C4" s="340" t="s">
        <v>1027</v>
      </c>
      <c r="D4" s="341"/>
      <c r="E4" s="342"/>
      <c r="F4" s="660" t="s">
        <v>1029</v>
      </c>
      <c r="G4" s="196" t="s">
        <v>811</v>
      </c>
      <c r="H4" s="231"/>
      <c r="I4" s="231"/>
      <c r="J4" s="197"/>
    </row>
    <row r="5" spans="1:10">
      <c r="C5" s="89" t="s">
        <v>1030</v>
      </c>
      <c r="D5" s="196" t="s">
        <v>0</v>
      </c>
      <c r="E5" s="197"/>
      <c r="F5" s="661"/>
      <c r="G5" s="198" t="s">
        <v>1</v>
      </c>
      <c r="H5" s="198"/>
      <c r="I5" s="198" t="s">
        <v>2</v>
      </c>
      <c r="J5" s="198"/>
    </row>
    <row r="6" spans="1:10">
      <c r="C6" s="344" t="s">
        <v>3</v>
      </c>
      <c r="D6" s="2"/>
      <c r="E6" s="12" t="str">
        <f>IF(C6="","",VLOOKUP(C6,係数!$B$2:$J$30,5,FALSE))</f>
        <v>kWh</v>
      </c>
      <c r="F6" s="343" t="str">
        <f>IFERROR(IF(VLOOKUP(C6,$C$6:$D$11,2,FALSE)&gt;=VLOOKUP(C6,$C$21:$D$26,2,FALSE),"使用量≧算定","算定＞使用量"),"ー")</f>
        <v>使用量≧算定</v>
      </c>
      <c r="G6" s="199">
        <f>D6*I6</f>
        <v>0</v>
      </c>
      <c r="H6" s="9" t="s">
        <v>5</v>
      </c>
      <c r="I6" s="200">
        <f>VLOOKUP(C6,係数!$B$2:$J$30,8,FALSE)</f>
        <v>4.5199999999999998E-4</v>
      </c>
      <c r="J6" s="9" t="str">
        <f>VLOOKUP(C6,係数!$B$2:$J$30,9,FALSE)</f>
        <v>tCO2/kWh</v>
      </c>
    </row>
    <row r="7" spans="1:10">
      <c r="C7" s="344" t="s">
        <v>6</v>
      </c>
      <c r="D7" s="2"/>
      <c r="E7" s="12" t="str">
        <f>IF(C7="","",VLOOKUP(C7,係数!$B$2:$J$30,5,FALSE))</f>
        <v>㎥</v>
      </c>
      <c r="F7" s="343" t="str">
        <f t="shared" ref="F7:F10" si="0">IFERROR(IF(VLOOKUP(C7,$C$6:$D$11,2,FALSE)&gt;=VLOOKUP(C7,$C$21:$D$26,2,FALSE),"使用量≧算定","算定＞使用量"),"ー")</f>
        <v>使用量≧算定</v>
      </c>
      <c r="G7" s="199">
        <f>D7*I7</f>
        <v>0</v>
      </c>
      <c r="H7" s="9" t="s">
        <v>5</v>
      </c>
      <c r="I7" s="200">
        <f>VLOOKUP(C7,係数!$B$2:$J$30,8,FALSE)</f>
        <v>2.0500000000000002E-3</v>
      </c>
      <c r="J7" s="9" t="str">
        <f>VLOOKUP(C7,係数!$B$2:$J$30,9,FALSE)</f>
        <v>tCO2/㎥</v>
      </c>
    </row>
    <row r="8" spans="1:10">
      <c r="C8" s="344" t="s">
        <v>9</v>
      </c>
      <c r="D8" s="2"/>
      <c r="E8" s="12" t="str">
        <f>IF(C8="","",VLOOKUP(C8,係数!$B$2:$J$30,5,FALSE))</f>
        <v>kg</v>
      </c>
      <c r="F8" s="343" t="str">
        <f t="shared" si="0"/>
        <v>使用量≧算定</v>
      </c>
      <c r="G8" s="199">
        <f>D8*I8</f>
        <v>0</v>
      </c>
      <c r="H8" s="9" t="s">
        <v>5</v>
      </c>
      <c r="I8" s="200">
        <f>VLOOKUP(C8,係数!$B$2:$J$30,8,FALSE)</f>
        <v>2.99431E-3</v>
      </c>
      <c r="J8" s="9" t="str">
        <f>VLOOKUP(C8,係数!$B$2:$J$30,9,FALSE)</f>
        <v>tCO2/kg</v>
      </c>
    </row>
    <row r="9" spans="1:10">
      <c r="B9" s="346" t="s">
        <v>337</v>
      </c>
      <c r="C9" s="345"/>
      <c r="D9" s="2"/>
      <c r="E9" s="12" t="str">
        <f>IF(C9="","",VLOOKUP(C9,係数!$B$2:$J$30,5,FALSE))</f>
        <v/>
      </c>
      <c r="F9" s="343" t="str">
        <f t="shared" si="0"/>
        <v>ー</v>
      </c>
      <c r="G9" s="199">
        <f>IF(D9="",0,D9*I9)</f>
        <v>0</v>
      </c>
      <c r="H9" s="9" t="s">
        <v>5</v>
      </c>
      <c r="I9" s="200" t="str">
        <f>IF(C9="","",VLOOKUP(C9,係数!$B$2:$J$30,8,FALSE))</f>
        <v/>
      </c>
      <c r="J9" s="9" t="str">
        <f>IF(C9="","",VLOOKUP(C9,係数!$B$2:$J$30,9,FALSE))</f>
        <v/>
      </c>
    </row>
    <row r="10" spans="1:10">
      <c r="B10" s="346" t="s">
        <v>336</v>
      </c>
      <c r="C10" s="345"/>
      <c r="D10" s="2"/>
      <c r="E10" s="12" t="str">
        <f>IF(C10="","",VLOOKUP(C10,係数!$B$2:$J$30,5,FALSE))</f>
        <v/>
      </c>
      <c r="F10" s="343" t="str">
        <f t="shared" si="0"/>
        <v>ー</v>
      </c>
      <c r="G10" s="199">
        <f>IF(D10="",0,D10*I10)</f>
        <v>0</v>
      </c>
      <c r="H10" s="9" t="s">
        <v>5</v>
      </c>
      <c r="I10" s="200" t="str">
        <f>IF(C10="","",VLOOKUP(C10,係数!$B$2:$J$30,8,FALSE))</f>
        <v/>
      </c>
      <c r="J10" s="9" t="str">
        <f>IF(C10="","",VLOOKUP(C10,係数!$B$2:$J$30,9,FALSE))</f>
        <v/>
      </c>
    </row>
    <row r="11" spans="1:10">
      <c r="B11" s="346" t="s">
        <v>336</v>
      </c>
      <c r="C11" s="345"/>
      <c r="D11" s="2"/>
      <c r="E11" s="12" t="str">
        <f>IF(C11="","",VLOOKUP(C11,係数!$B$2:$J$30,5,FALSE))</f>
        <v/>
      </c>
      <c r="F11" s="343" t="str">
        <f>IFERROR(IF(VLOOKUP(C11,$C$6:$D$11,2,FALSE)&gt;=VLOOKUP(C11,$C$21:$D$26,2,FALSE),"使用量≧算定","算定＞使用量"),"ー")</f>
        <v>ー</v>
      </c>
      <c r="G11" s="199">
        <f>IF(D11="",0,D11*I11)</f>
        <v>0</v>
      </c>
      <c r="H11" s="9" t="s">
        <v>5</v>
      </c>
      <c r="I11" s="200" t="str">
        <f>IF(C11="","",VLOOKUP(C11,係数!$B$2:$J$30,8,FALSE))</f>
        <v/>
      </c>
      <c r="J11" s="9" t="str">
        <f>IF(C11="","",VLOOKUP(C11,係数!$B$2:$J$30,9,FALSE))</f>
        <v/>
      </c>
    </row>
    <row r="12" spans="1:10">
      <c r="C12" s="203"/>
      <c r="D12" s="203"/>
      <c r="E12" s="12" t="s">
        <v>13</v>
      </c>
      <c r="F12" s="108"/>
      <c r="G12" s="199">
        <f>SUM(G6:G11)</f>
        <v>0</v>
      </c>
      <c r="H12" s="9" t="s">
        <v>5</v>
      </c>
      <c r="I12" s="203"/>
      <c r="J12" s="203"/>
    </row>
    <row r="19" spans="1:11" ht="25.5">
      <c r="A19" s="204" t="s">
        <v>818</v>
      </c>
    </row>
    <row r="20" spans="1:11">
      <c r="A20" s="134"/>
      <c r="C20" s="89" t="s">
        <v>338</v>
      </c>
      <c r="D20" s="196" t="s">
        <v>0</v>
      </c>
      <c r="E20" s="347"/>
      <c r="F20" s="205" t="s">
        <v>819</v>
      </c>
      <c r="G20" s="205" t="s">
        <v>956</v>
      </c>
      <c r="H20" s="205" t="s">
        <v>967</v>
      </c>
      <c r="I20" s="205" t="s">
        <v>965</v>
      </c>
      <c r="J20" s="205" t="s">
        <v>820</v>
      </c>
      <c r="K20" s="205" t="s">
        <v>1158</v>
      </c>
    </row>
    <row r="21" spans="1:11">
      <c r="C21" s="71" t="s">
        <v>3</v>
      </c>
      <c r="D21" s="206">
        <f>SUM(F21:K21)</f>
        <v>0</v>
      </c>
      <c r="E21" s="9" t="str">
        <f>IF(C21="","",VLOOKUP(C21,係数!$B$2:$J$30,5,FALSE))</f>
        <v>kWh</v>
      </c>
      <c r="F21" s="207">
        <f>照明!K20</f>
        <v>0</v>
      </c>
      <c r="G21" s="43">
        <f>空調!T22</f>
        <v>0</v>
      </c>
      <c r="H21" s="43">
        <f>SUMIF(ボイラー・給湯器!$G$23:$G$32,"電気",ボイラー・給湯器!$R$23:$R$32)</f>
        <v>0</v>
      </c>
      <c r="I21" s="43">
        <f>コンプレッサー!O19</f>
        <v>0</v>
      </c>
      <c r="J21" s="43">
        <f>変圧器!M20</f>
        <v>0</v>
      </c>
      <c r="K21" s="43">
        <f>冷凍冷蔵庫!M23+'ショーケース、ユニットクーラ、冷凍冷蔵ユニット'!O23</f>
        <v>0</v>
      </c>
    </row>
    <row r="22" spans="1:11">
      <c r="C22" s="71" t="s">
        <v>6</v>
      </c>
      <c r="D22" s="206">
        <f>SUM(G22:H22)</f>
        <v>0</v>
      </c>
      <c r="E22" s="9" t="str">
        <f>IF(C22="","",VLOOKUP(C22,係数!$B$2:$J$30,5,FALSE))</f>
        <v>㎥</v>
      </c>
      <c r="F22" s="208"/>
      <c r="G22" s="43">
        <f>SUMIF(空調!$G$23:$G$42,"*都市ガス*",空調!$U$23:$U$42)</f>
        <v>0</v>
      </c>
      <c r="H22" s="43">
        <f>SUMIF(ボイラー・給湯器!$G$23:$G$32,"*都市ガス*",ボイラー・給湯器!$R$23:$R$32)</f>
        <v>0</v>
      </c>
      <c r="I22" s="209"/>
      <c r="J22" s="209"/>
      <c r="K22" s="209"/>
    </row>
    <row r="23" spans="1:11">
      <c r="C23" s="71" t="s">
        <v>9</v>
      </c>
      <c r="D23" s="206">
        <f>SUM(G23:H23)</f>
        <v>0</v>
      </c>
      <c r="E23" s="9" t="str">
        <f>IF(C23="","",VLOOKUP(C23,係数!$B$2:$J$30,5,FALSE))</f>
        <v>kg</v>
      </c>
      <c r="F23" s="208"/>
      <c r="G23" s="43">
        <f>SUMIF(空調!$G$23:$G$42,"*LPG*",空調!$U$23:$U$42)</f>
        <v>0</v>
      </c>
      <c r="H23" s="43">
        <f>SUMIF(ボイラー・給湯器!$G$23:$G$32,"*LPG*",ボイラー・給湯器!$R$23:$R$32)</f>
        <v>0</v>
      </c>
      <c r="I23" s="209"/>
      <c r="J23" s="209"/>
      <c r="K23" s="209"/>
    </row>
    <row r="24" spans="1:11">
      <c r="C24" s="71" t="s">
        <v>11</v>
      </c>
      <c r="D24" s="206">
        <f t="shared" ref="D24:D26" si="1">SUM(G24:H24)</f>
        <v>0</v>
      </c>
      <c r="E24" s="9" t="str">
        <f>IF(C24="","",VLOOKUP(C24,係数!$B$2:$J$30,5,FALSE))</f>
        <v>L</v>
      </c>
      <c r="F24" s="208"/>
      <c r="G24" s="208"/>
      <c r="H24" s="43">
        <f>SUMIF(ボイラー・給湯器!$G$23:$G$32,"*灯油*",ボイラー・給湯器!$R$23:$R$32)</f>
        <v>0</v>
      </c>
      <c r="I24" s="209"/>
      <c r="J24" s="209"/>
      <c r="K24" s="209"/>
    </row>
    <row r="25" spans="1:11">
      <c r="C25" s="71" t="s">
        <v>12</v>
      </c>
      <c r="D25" s="206">
        <f t="shared" si="1"/>
        <v>0</v>
      </c>
      <c r="E25" s="9" t="str">
        <f>IF(C25="","",VLOOKUP(C25,係数!$B$2:$J$30,5,FALSE))</f>
        <v>L</v>
      </c>
      <c r="F25" s="208"/>
      <c r="G25" s="208"/>
      <c r="H25" s="43">
        <f>SUMIF(ボイラー・給湯器!$G$23:$G$32,"*A重油*",ボイラー・給湯器!$R$23:$R$32)</f>
        <v>0</v>
      </c>
      <c r="I25" s="209"/>
      <c r="J25" s="209"/>
      <c r="K25" s="209"/>
    </row>
    <row r="26" spans="1:11">
      <c r="C26" s="71" t="s">
        <v>1031</v>
      </c>
      <c r="D26" s="206">
        <f t="shared" si="1"/>
        <v>0</v>
      </c>
      <c r="E26" s="9" t="str">
        <f>IF(C26="","",VLOOKUP(C26,係数!$B$2:$J$30,5,FALSE))</f>
        <v>kg</v>
      </c>
      <c r="F26" s="208"/>
      <c r="G26" s="208"/>
      <c r="H26" s="43">
        <f>SUMIF(ボイラー・給湯器!$G$23:$G$32,"*LNG*",ボイラー・給湯器!$R$23:$R$32)</f>
        <v>0</v>
      </c>
      <c r="I26" s="209"/>
      <c r="J26" s="209"/>
      <c r="K26" s="209"/>
    </row>
  </sheetData>
  <sheetProtection algorithmName="SHA-512" hashValue="BjCplWr/PVNHbwGIx2Ef3BV8XQVz4gUtRSj/LK8+H5q0RcD4ewmg4IHsdl5eQcyoYFGSfigklinYCD5ddSGhhw==" saltValue="L9vGE21ZJomAzYvM1GMwAA==" spinCount="100000" sheet="1" objects="1" formatCells="0" formatColumns="0" formatRows="0"/>
  <mergeCells count="1">
    <mergeCell ref="F4:F5"/>
  </mergeCells>
  <phoneticPr fontId="8"/>
  <conditionalFormatting sqref="F6:F11">
    <cfRule type="cellIs" dxfId="83" priority="1" operator="equal">
      <formula>"診断＞使用量"</formula>
    </cfRule>
  </conditionalFormatting>
  <conditionalFormatting sqref="G2">
    <cfRule type="expression" dxfId="82" priority="21">
      <formula>#REF!="把握していない"</formula>
    </cfRule>
  </conditionalFormatting>
  <pageMargins left="0.70866141732283472" right="0.70866141732283472" top="0.74803149606299213" bottom="0.74803149606299213" header="0.31496062992125984" footer="0.31496062992125984"/>
  <pageSetup paperSize="9" scale="54" fitToHeight="0"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係数!$B$3:$B$30</xm:f>
          </x14:formula1>
          <xm:sqref>C8:C11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C1014-252E-452D-8F4E-99F27D93CA1D}">
  <sheetPr>
    <tabColor rgb="FFFFFF00"/>
  </sheetPr>
  <dimension ref="A1"/>
  <sheetViews>
    <sheetView workbookViewId="0">
      <selection activeCell="J17" sqref="J17"/>
    </sheetView>
  </sheetViews>
  <sheetFormatPr defaultRowHeight="18.75"/>
  <sheetData/>
  <phoneticPr fontId="8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31"/>
  <sheetViews>
    <sheetView topLeftCell="A4" zoomScaleNormal="100" workbookViewId="0">
      <selection activeCell="J17" sqref="J17"/>
    </sheetView>
  </sheetViews>
  <sheetFormatPr defaultColWidth="8.875" defaultRowHeight="18.75"/>
  <cols>
    <col min="1" max="1" width="18.125" style="294" customWidth="1"/>
    <col min="2" max="2" width="25.125" style="294" customWidth="1"/>
    <col min="3" max="3" width="10.125" style="294" customWidth="1"/>
    <col min="4" max="4" width="11.125" style="393" customWidth="1"/>
    <col min="5" max="5" width="12.875" style="294" customWidth="1"/>
    <col min="6" max="6" width="12.125" style="294" customWidth="1"/>
    <col min="7" max="8" width="8.875" style="294"/>
    <col min="9" max="9" width="14.875" style="304" customWidth="1"/>
    <col min="10" max="10" width="11.875" style="294" customWidth="1"/>
    <col min="11" max="16384" width="8.875" style="294"/>
  </cols>
  <sheetData>
    <row r="1" spans="1:23">
      <c r="A1" s="20" t="s">
        <v>154</v>
      </c>
      <c r="B1" s="21">
        <v>1</v>
      </c>
      <c r="C1" s="21">
        <v>2</v>
      </c>
      <c r="D1" s="21">
        <v>3</v>
      </c>
      <c r="E1" s="21">
        <v>4</v>
      </c>
      <c r="F1" s="21">
        <v>5</v>
      </c>
      <c r="G1" s="21">
        <v>6</v>
      </c>
      <c r="H1" s="21">
        <v>7</v>
      </c>
      <c r="I1" s="21">
        <v>8</v>
      </c>
      <c r="J1" s="21">
        <v>9</v>
      </c>
      <c r="L1" s="295" t="s">
        <v>700</v>
      </c>
    </row>
    <row r="2" spans="1:23" ht="37.5" customHeight="1">
      <c r="B2" s="22" t="s">
        <v>155</v>
      </c>
      <c r="C2" s="389" t="s">
        <v>1148</v>
      </c>
      <c r="D2" s="392" t="s">
        <v>1151</v>
      </c>
      <c r="E2" s="390" t="s">
        <v>156</v>
      </c>
      <c r="F2" s="391" t="s">
        <v>1149</v>
      </c>
      <c r="G2" s="23" t="s">
        <v>157</v>
      </c>
      <c r="H2" s="390" t="s">
        <v>158</v>
      </c>
      <c r="I2" s="24" t="s">
        <v>159</v>
      </c>
      <c r="J2" s="390" t="s">
        <v>158</v>
      </c>
      <c r="L2" s="296" t="s">
        <v>1146</v>
      </c>
    </row>
    <row r="3" spans="1:23" ht="18" customHeight="1">
      <c r="B3" s="25" t="s">
        <v>160</v>
      </c>
      <c r="C3" s="397">
        <v>38.299999999999997</v>
      </c>
      <c r="D3" s="397">
        <v>36.01</v>
      </c>
      <c r="E3" s="26" t="str">
        <f>"MJ/"&amp;F3</f>
        <v>MJ/L</v>
      </c>
      <c r="F3" s="26" t="s">
        <v>8</v>
      </c>
      <c r="G3" s="297">
        <v>1.9E-2</v>
      </c>
      <c r="H3" s="387" t="s">
        <v>161</v>
      </c>
      <c r="I3" s="27">
        <f>$C3*G3*44/12/1000</f>
        <v>2.668233333333333E-3</v>
      </c>
      <c r="J3" s="28" t="str">
        <f>"tCO2/"&amp;F3</f>
        <v>tCO2/L</v>
      </c>
      <c r="L3" s="441" t="s">
        <v>701</v>
      </c>
    </row>
    <row r="4" spans="1:23">
      <c r="B4" s="25" t="s">
        <v>162</v>
      </c>
      <c r="C4" s="397">
        <v>34.799999999999997</v>
      </c>
      <c r="D4" s="397">
        <v>32.6</v>
      </c>
      <c r="E4" s="26" t="str">
        <f t="shared" ref="E4:E10" si="0">"MJ/"&amp;F4</f>
        <v>MJ/L</v>
      </c>
      <c r="F4" s="26" t="s">
        <v>8</v>
      </c>
      <c r="G4" s="297">
        <v>1.83E-2</v>
      </c>
      <c r="H4" s="387" t="s">
        <v>161</v>
      </c>
      <c r="I4" s="27">
        <f t="shared" ref="I4:I24" si="1">$C4*G4*44/12/1000</f>
        <v>2.3350800000000002E-3</v>
      </c>
      <c r="J4" s="28" t="str">
        <f t="shared" ref="J4:J30" si="2">"tCO2/"&amp;F4</f>
        <v>tCO2/L</v>
      </c>
      <c r="L4" s="296" t="s">
        <v>1147</v>
      </c>
    </row>
    <row r="5" spans="1:23">
      <c r="B5" s="25" t="s">
        <v>163</v>
      </c>
      <c r="C5" s="397">
        <v>33.4</v>
      </c>
      <c r="D5" s="397">
        <v>31.32</v>
      </c>
      <c r="E5" s="26" t="str">
        <f t="shared" si="0"/>
        <v>MJ/L</v>
      </c>
      <c r="F5" s="26" t="s">
        <v>8</v>
      </c>
      <c r="G5" s="297">
        <v>1.8700000000000001E-2</v>
      </c>
      <c r="H5" s="387" t="s">
        <v>161</v>
      </c>
      <c r="I5" s="27">
        <f t="shared" si="1"/>
        <v>2.2901266666666667E-3</v>
      </c>
      <c r="J5" s="28" t="str">
        <f t="shared" si="2"/>
        <v>tCO2/L</v>
      </c>
    </row>
    <row r="6" spans="1:23">
      <c r="B6" s="25" t="s">
        <v>164</v>
      </c>
      <c r="C6" s="397">
        <v>33.299999999999997</v>
      </c>
      <c r="D6" s="397">
        <v>31.25</v>
      </c>
      <c r="E6" s="26" t="str">
        <f t="shared" si="0"/>
        <v>MJ/L</v>
      </c>
      <c r="F6" s="26" t="s">
        <v>8</v>
      </c>
      <c r="G6" s="297">
        <v>1.8599999999999998E-2</v>
      </c>
      <c r="H6" s="387" t="s">
        <v>161</v>
      </c>
      <c r="I6" s="27">
        <f t="shared" si="1"/>
        <v>2.2710599999999997E-3</v>
      </c>
      <c r="J6" s="28" t="str">
        <f t="shared" si="2"/>
        <v>tCO2/L</v>
      </c>
      <c r="L6" s="441" t="s">
        <v>1171</v>
      </c>
    </row>
    <row r="7" spans="1:23">
      <c r="B7" s="25" t="s">
        <v>11</v>
      </c>
      <c r="C7" s="397">
        <v>36.5</v>
      </c>
      <c r="D7" s="397">
        <v>34.270000000000003</v>
      </c>
      <c r="E7" s="26" t="str">
        <f t="shared" si="0"/>
        <v>MJ/L</v>
      </c>
      <c r="F7" s="26" t="s">
        <v>8</v>
      </c>
      <c r="G7" s="297">
        <v>1.8700000000000001E-2</v>
      </c>
      <c r="H7" s="387" t="s">
        <v>161</v>
      </c>
      <c r="I7" s="27">
        <f t="shared" si="1"/>
        <v>2.5026833333333335E-3</v>
      </c>
      <c r="J7" s="28" t="str">
        <f t="shared" si="2"/>
        <v>tCO2/L</v>
      </c>
      <c r="L7" s="394" t="s">
        <v>1150</v>
      </c>
    </row>
    <row r="8" spans="1:23">
      <c r="B8" s="25" t="s">
        <v>165</v>
      </c>
      <c r="C8" s="397">
        <v>38</v>
      </c>
      <c r="D8" s="397">
        <v>35.770000000000003</v>
      </c>
      <c r="E8" s="26" t="str">
        <f t="shared" si="0"/>
        <v>MJ/L</v>
      </c>
      <c r="F8" s="26" t="s">
        <v>8</v>
      </c>
      <c r="G8" s="297">
        <v>1.8800000000000001E-2</v>
      </c>
      <c r="H8" s="387" t="s">
        <v>161</v>
      </c>
      <c r="I8" s="27">
        <f t="shared" si="1"/>
        <v>2.6194666666666667E-3</v>
      </c>
      <c r="J8" s="28" t="str">
        <f t="shared" si="2"/>
        <v>tCO2/L</v>
      </c>
    </row>
    <row r="9" spans="1:23">
      <c r="B9" s="25" t="s">
        <v>12</v>
      </c>
      <c r="C9" s="397">
        <v>38.9</v>
      </c>
      <c r="D9" s="397">
        <v>36.729999999999997</v>
      </c>
      <c r="E9" s="26" t="str">
        <f t="shared" si="0"/>
        <v>MJ/L</v>
      </c>
      <c r="F9" s="26" t="s">
        <v>8</v>
      </c>
      <c r="G9" s="297">
        <v>1.9300000000000001E-2</v>
      </c>
      <c r="H9" s="387" t="s">
        <v>161</v>
      </c>
      <c r="I9" s="27">
        <f t="shared" si="1"/>
        <v>2.7528233333333338E-3</v>
      </c>
      <c r="J9" s="28" t="str">
        <f t="shared" si="2"/>
        <v>tCO2/L</v>
      </c>
    </row>
    <row r="10" spans="1:23">
      <c r="B10" s="25" t="s">
        <v>166</v>
      </c>
      <c r="C10" s="397">
        <v>41.8</v>
      </c>
      <c r="D10" s="397">
        <v>39.67</v>
      </c>
      <c r="E10" s="26" t="str">
        <f t="shared" si="0"/>
        <v>MJ/L</v>
      </c>
      <c r="F10" s="26" t="s">
        <v>8</v>
      </c>
      <c r="G10" s="297">
        <v>2.0199999999999999E-2</v>
      </c>
      <c r="H10" s="387" t="s">
        <v>161</v>
      </c>
      <c r="I10" s="27">
        <f t="shared" si="1"/>
        <v>3.0959866666666661E-3</v>
      </c>
      <c r="J10" s="28" t="str">
        <f t="shared" si="2"/>
        <v>tCO2/L</v>
      </c>
    </row>
    <row r="11" spans="1:23">
      <c r="B11" s="25" t="s">
        <v>167</v>
      </c>
      <c r="C11" s="397">
        <v>40</v>
      </c>
      <c r="D11" s="397">
        <v>38.19</v>
      </c>
      <c r="E11" s="26" t="str">
        <f>"MJ/"&amp;F11</f>
        <v>MJ/kg</v>
      </c>
      <c r="F11" s="26" t="s">
        <v>10</v>
      </c>
      <c r="G11" s="297">
        <v>2.0400000000000001E-2</v>
      </c>
      <c r="H11" s="387" t="s">
        <v>161</v>
      </c>
      <c r="I11" s="27">
        <f t="shared" si="1"/>
        <v>2.9920000000000003E-3</v>
      </c>
      <c r="J11" s="28" t="str">
        <f t="shared" si="2"/>
        <v>tCO2/kg</v>
      </c>
    </row>
    <row r="12" spans="1:23">
      <c r="B12" s="25" t="s">
        <v>168</v>
      </c>
      <c r="C12" s="397">
        <v>34.1</v>
      </c>
      <c r="D12" s="397">
        <v>33.26</v>
      </c>
      <c r="E12" s="26" t="str">
        <f t="shared" ref="E12:E30" si="3">"MJ/"&amp;F12</f>
        <v>MJ/kg</v>
      </c>
      <c r="F12" s="26" t="s">
        <v>10</v>
      </c>
      <c r="G12" s="297">
        <v>2.4500000000000001E-2</v>
      </c>
      <c r="H12" s="387" t="s">
        <v>161</v>
      </c>
      <c r="I12" s="27">
        <f t="shared" si="1"/>
        <v>3.0633166666666667E-3</v>
      </c>
      <c r="J12" s="28" t="str">
        <f t="shared" si="2"/>
        <v>tCO2/kg</v>
      </c>
    </row>
    <row r="13" spans="1:23">
      <c r="B13" s="25" t="s">
        <v>9</v>
      </c>
      <c r="C13" s="397">
        <v>50.1</v>
      </c>
      <c r="D13" s="397">
        <v>46.44</v>
      </c>
      <c r="E13" s="26" t="str">
        <f>"MJ/"&amp;F13</f>
        <v>MJ/kg</v>
      </c>
      <c r="F13" s="26" t="s">
        <v>10</v>
      </c>
      <c r="G13" s="297">
        <v>1.6299999999999999E-2</v>
      </c>
      <c r="H13" s="387" t="s">
        <v>161</v>
      </c>
      <c r="I13" s="77">
        <f>$C13*G13*44/12/1000</f>
        <v>2.99431E-3</v>
      </c>
      <c r="J13" s="298" t="str">
        <f t="shared" si="2"/>
        <v>tCO2/kg</v>
      </c>
      <c r="K13" s="299"/>
      <c r="P13" s="155"/>
      <c r="Q13" s="300"/>
      <c r="R13" s="154"/>
      <c r="S13" s="154"/>
      <c r="T13" s="301"/>
      <c r="U13" s="156"/>
      <c r="V13" s="157"/>
      <c r="W13" s="21"/>
    </row>
    <row r="14" spans="1:23">
      <c r="B14" s="25" t="s">
        <v>169</v>
      </c>
      <c r="C14" s="397">
        <v>46.1</v>
      </c>
      <c r="D14" s="397"/>
      <c r="E14" s="26" t="str">
        <f t="shared" si="3"/>
        <v>MJ/㎥</v>
      </c>
      <c r="F14" s="26" t="s">
        <v>7</v>
      </c>
      <c r="G14" s="297">
        <v>1.44E-2</v>
      </c>
      <c r="H14" s="387" t="s">
        <v>161</v>
      </c>
      <c r="I14" s="27">
        <f t="shared" si="1"/>
        <v>2.4340799999999999E-3</v>
      </c>
      <c r="J14" s="28" t="str">
        <f t="shared" si="2"/>
        <v>tCO2/㎥</v>
      </c>
    </row>
    <row r="15" spans="1:23" ht="18" customHeight="1">
      <c r="B15" s="25" t="s">
        <v>1031</v>
      </c>
      <c r="C15" s="397">
        <v>54.7</v>
      </c>
      <c r="D15" s="397">
        <v>49.84</v>
      </c>
      <c r="E15" s="26" t="str">
        <f t="shared" si="3"/>
        <v>MJ/kg</v>
      </c>
      <c r="F15" s="26" t="s">
        <v>10</v>
      </c>
      <c r="G15" s="297">
        <v>1.3899999999999999E-2</v>
      </c>
      <c r="H15" s="387" t="s">
        <v>161</v>
      </c>
      <c r="I15" s="27">
        <f t="shared" si="1"/>
        <v>2.7878766666666662E-3</v>
      </c>
      <c r="J15" s="28" t="str">
        <f t="shared" si="2"/>
        <v>tCO2/kg</v>
      </c>
    </row>
    <row r="16" spans="1:23">
      <c r="B16" s="25" t="s">
        <v>170</v>
      </c>
      <c r="C16" s="397">
        <v>38.4</v>
      </c>
      <c r="D16" s="397">
        <v>35.770000000000003</v>
      </c>
      <c r="E16" s="26" t="str">
        <f t="shared" si="3"/>
        <v>MJ/㎥</v>
      </c>
      <c r="F16" s="26" t="s">
        <v>7</v>
      </c>
      <c r="G16" s="297">
        <v>1.3899999999999999E-2</v>
      </c>
      <c r="H16" s="387" t="s">
        <v>161</v>
      </c>
      <c r="I16" s="27">
        <f t="shared" si="1"/>
        <v>1.9571199999999997E-3</v>
      </c>
      <c r="J16" s="28" t="str">
        <f t="shared" si="2"/>
        <v>tCO2/㎥</v>
      </c>
    </row>
    <row r="17" spans="2:11">
      <c r="B17" s="25" t="s">
        <v>171</v>
      </c>
      <c r="C17" s="397">
        <v>28.7</v>
      </c>
      <c r="D17" s="397">
        <v>26.47</v>
      </c>
      <c r="E17" s="26" t="str">
        <f t="shared" si="3"/>
        <v>MJ/kg</v>
      </c>
      <c r="F17" s="26" t="s">
        <v>10</v>
      </c>
      <c r="G17" s="297">
        <v>2.46E-2</v>
      </c>
      <c r="H17" s="387" t="s">
        <v>161</v>
      </c>
      <c r="I17" s="27">
        <f>$C17*G17*44/12/1000</f>
        <v>2.58874E-3</v>
      </c>
      <c r="J17" s="28" t="str">
        <f t="shared" si="2"/>
        <v>tCO2/kg</v>
      </c>
    </row>
    <row r="18" spans="2:11">
      <c r="B18" s="25" t="s">
        <v>172</v>
      </c>
      <c r="C18" s="397">
        <v>26.1</v>
      </c>
      <c r="D18" s="397">
        <v>24.8</v>
      </c>
      <c r="E18" s="26" t="str">
        <f t="shared" si="3"/>
        <v>MJ/kg</v>
      </c>
      <c r="F18" s="26" t="s">
        <v>10</v>
      </c>
      <c r="G18" s="297">
        <v>2.4299999999999999E-2</v>
      </c>
      <c r="H18" s="387" t="s">
        <v>161</v>
      </c>
      <c r="I18" s="27">
        <f t="shared" si="1"/>
        <v>2.3255099999999998E-3</v>
      </c>
      <c r="J18" s="28" t="str">
        <f t="shared" si="2"/>
        <v>tCO2/kg</v>
      </c>
    </row>
    <row r="19" spans="2:11">
      <c r="B19" s="25" t="s">
        <v>173</v>
      </c>
      <c r="C19" s="397">
        <v>27.8</v>
      </c>
      <c r="D19" s="397">
        <v>26.89</v>
      </c>
      <c r="E19" s="26" t="str">
        <f t="shared" si="3"/>
        <v>MJ/kg</v>
      </c>
      <c r="F19" s="26" t="s">
        <v>10</v>
      </c>
      <c r="G19" s="297">
        <v>2.5899999999999999E-2</v>
      </c>
      <c r="H19" s="387" t="s">
        <v>161</v>
      </c>
      <c r="I19" s="27">
        <f t="shared" si="1"/>
        <v>2.6400733333333329E-3</v>
      </c>
      <c r="J19" s="28" t="str">
        <f t="shared" si="2"/>
        <v>tCO2/kg</v>
      </c>
    </row>
    <row r="20" spans="2:11">
      <c r="B20" s="25" t="s">
        <v>174</v>
      </c>
      <c r="C20" s="397">
        <v>29</v>
      </c>
      <c r="D20" s="397">
        <v>28.33</v>
      </c>
      <c r="E20" s="26" t="str">
        <f t="shared" si="3"/>
        <v>MJ/kg</v>
      </c>
      <c r="F20" s="26" t="s">
        <v>10</v>
      </c>
      <c r="G20" s="297">
        <v>2.9899999999999999E-2</v>
      </c>
      <c r="H20" s="387" t="s">
        <v>161</v>
      </c>
      <c r="I20" s="27">
        <f t="shared" si="1"/>
        <v>3.1793666666666666E-3</v>
      </c>
      <c r="J20" s="28" t="str">
        <f t="shared" si="2"/>
        <v>tCO2/kg</v>
      </c>
    </row>
    <row r="21" spans="2:11">
      <c r="B21" s="25" t="s">
        <v>175</v>
      </c>
      <c r="C21" s="397">
        <v>37.299999999999997</v>
      </c>
      <c r="D21" s="397">
        <v>28</v>
      </c>
      <c r="E21" s="26" t="str">
        <f t="shared" si="3"/>
        <v>MJ/kg</v>
      </c>
      <c r="F21" s="26" t="s">
        <v>10</v>
      </c>
      <c r="G21" s="297">
        <v>2.0899999999999998E-2</v>
      </c>
      <c r="H21" s="387" t="s">
        <v>161</v>
      </c>
      <c r="I21" s="27">
        <f t="shared" si="1"/>
        <v>2.8584233333333329E-3</v>
      </c>
      <c r="J21" s="28" t="str">
        <f t="shared" si="2"/>
        <v>tCO2/kg</v>
      </c>
    </row>
    <row r="22" spans="2:11">
      <c r="B22" s="25" t="s">
        <v>176</v>
      </c>
      <c r="C22" s="397">
        <v>18.399999999999999</v>
      </c>
      <c r="D22" s="397">
        <v>16.48</v>
      </c>
      <c r="E22" s="26" t="str">
        <f t="shared" si="3"/>
        <v>MJ/㎥</v>
      </c>
      <c r="F22" s="26" t="s">
        <v>7</v>
      </c>
      <c r="G22" s="297">
        <v>1.09E-2</v>
      </c>
      <c r="H22" s="387" t="s">
        <v>161</v>
      </c>
      <c r="I22" s="27">
        <f t="shared" si="1"/>
        <v>7.3538666666666652E-4</v>
      </c>
      <c r="J22" s="28" t="str">
        <f t="shared" si="2"/>
        <v>tCO2/㎥</v>
      </c>
    </row>
    <row r="23" spans="2:11">
      <c r="B23" s="25" t="s">
        <v>177</v>
      </c>
      <c r="C23" s="397">
        <v>3.23</v>
      </c>
      <c r="D23" s="397">
        <v>3.1579999999999999</v>
      </c>
      <c r="E23" s="26" t="str">
        <f t="shared" si="3"/>
        <v>MJ/㎥</v>
      </c>
      <c r="F23" s="26" t="s">
        <v>7</v>
      </c>
      <c r="G23" s="297">
        <v>2.64E-2</v>
      </c>
      <c r="H23" s="387" t="s">
        <v>161</v>
      </c>
      <c r="I23" s="27">
        <f t="shared" si="1"/>
        <v>3.1266399999999999E-4</v>
      </c>
      <c r="J23" s="28" t="str">
        <f t="shared" si="2"/>
        <v>tCO2/㎥</v>
      </c>
    </row>
    <row r="24" spans="2:11">
      <c r="B24" s="25" t="s">
        <v>178</v>
      </c>
      <c r="C24" s="397">
        <v>7.53</v>
      </c>
      <c r="D24" s="397">
        <v>7.516</v>
      </c>
      <c r="E24" s="26" t="str">
        <f>"MJ/"&amp;F24</f>
        <v>MJ/㎥</v>
      </c>
      <c r="F24" s="26" t="s">
        <v>7</v>
      </c>
      <c r="G24" s="297">
        <v>4.2000000000000003E-2</v>
      </c>
      <c r="H24" s="388" t="s">
        <v>161</v>
      </c>
      <c r="I24" s="77">
        <f t="shared" si="1"/>
        <v>1.1596200000000001E-3</v>
      </c>
      <c r="J24" s="28" t="str">
        <f t="shared" si="2"/>
        <v>tCO2/㎥</v>
      </c>
    </row>
    <row r="25" spans="2:11">
      <c r="B25" s="25" t="s">
        <v>110</v>
      </c>
      <c r="C25" s="397">
        <v>45</v>
      </c>
      <c r="D25" s="397">
        <v>40.6</v>
      </c>
      <c r="E25" s="26" t="str">
        <f t="shared" si="3"/>
        <v>MJ/㎥</v>
      </c>
      <c r="F25" s="26" t="s">
        <v>7</v>
      </c>
      <c r="G25" s="297">
        <v>1.3977272727272729E-2</v>
      </c>
      <c r="H25" s="388" t="s">
        <v>161</v>
      </c>
      <c r="I25" s="77">
        <v>2.0500000000000002E-3</v>
      </c>
      <c r="J25" s="28" t="str">
        <f>"tCO2/"&amp;F25</f>
        <v>tCO2/㎥</v>
      </c>
      <c r="K25" s="302"/>
    </row>
    <row r="26" spans="2:11">
      <c r="B26" s="28" t="s">
        <v>179</v>
      </c>
      <c r="C26" s="397">
        <v>1.17</v>
      </c>
      <c r="D26" s="397">
        <v>1</v>
      </c>
      <c r="E26" s="26" t="str">
        <f>"MJ/"&amp;F26</f>
        <v>MJ/MJ</v>
      </c>
      <c r="F26" s="26" t="s">
        <v>322</v>
      </c>
      <c r="G26" s="297">
        <v>6.54E-2</v>
      </c>
      <c r="H26" s="388" t="s">
        <v>180</v>
      </c>
      <c r="I26" s="77">
        <f>$C26*G26/1000</f>
        <v>7.6517999999999988E-5</v>
      </c>
      <c r="J26" s="28" t="str">
        <f>"tCO2/"&amp;F26</f>
        <v>tCO2/MJ</v>
      </c>
    </row>
    <row r="27" spans="2:11">
      <c r="B27" s="28" t="s">
        <v>181</v>
      </c>
      <c r="C27" s="397">
        <v>1.19</v>
      </c>
      <c r="D27" s="397">
        <v>1</v>
      </c>
      <c r="E27" s="26" t="str">
        <f>"MJ/"&amp;F27</f>
        <v>MJ/MJ</v>
      </c>
      <c r="F27" s="26" t="s">
        <v>322</v>
      </c>
      <c r="G27" s="297">
        <v>5.3199999999999997E-2</v>
      </c>
      <c r="H27" s="388" t="s">
        <v>180</v>
      </c>
      <c r="I27" s="77">
        <f>$C27*G27/1000</f>
        <v>6.3307999999999984E-5</v>
      </c>
      <c r="J27" s="28" t="str">
        <f t="shared" si="2"/>
        <v>tCO2/MJ</v>
      </c>
    </row>
    <row r="28" spans="2:11">
      <c r="B28" s="28" t="s">
        <v>182</v>
      </c>
      <c r="C28" s="397">
        <v>1.19</v>
      </c>
      <c r="D28" s="397">
        <v>1</v>
      </c>
      <c r="E28" s="26" t="str">
        <f>"MJ/"&amp;F28</f>
        <v>MJ/MJ</v>
      </c>
      <c r="F28" s="26" t="s">
        <v>322</v>
      </c>
      <c r="G28" s="297">
        <v>5.3199999999999997E-2</v>
      </c>
      <c r="H28" s="388" t="s">
        <v>180</v>
      </c>
      <c r="I28" s="77">
        <f>$C28*G28/1000</f>
        <v>6.3307999999999984E-5</v>
      </c>
      <c r="J28" s="28" t="str">
        <f t="shared" si="2"/>
        <v>tCO2/MJ</v>
      </c>
    </row>
    <row r="29" spans="2:11">
      <c r="B29" s="28" t="s">
        <v>183</v>
      </c>
      <c r="C29" s="397">
        <v>1.19</v>
      </c>
      <c r="D29" s="397">
        <v>1</v>
      </c>
      <c r="E29" s="26" t="str">
        <f>"MJ/"&amp;F29</f>
        <v>MJ/MJ</v>
      </c>
      <c r="F29" s="26" t="s">
        <v>322</v>
      </c>
      <c r="G29" s="297">
        <v>5.3199999999999997E-2</v>
      </c>
      <c r="H29" s="388" t="s">
        <v>180</v>
      </c>
      <c r="I29" s="77">
        <f>$C29*G29/1000</f>
        <v>6.3307999999999984E-5</v>
      </c>
      <c r="J29" s="28" t="str">
        <f t="shared" si="2"/>
        <v>tCO2/MJ</v>
      </c>
    </row>
    <row r="30" spans="2:11" ht="18" customHeight="1">
      <c r="B30" s="303" t="s">
        <v>3</v>
      </c>
      <c r="C30" s="397">
        <v>8.64</v>
      </c>
      <c r="D30" s="397">
        <v>3.6</v>
      </c>
      <c r="E30" s="26" t="str">
        <f t="shared" si="3"/>
        <v>MJ/kWh</v>
      </c>
      <c r="F30" s="26" t="s">
        <v>4</v>
      </c>
      <c r="G30" s="29">
        <v>4.5199999999999998E-4</v>
      </c>
      <c r="H30" s="388" t="s">
        <v>184</v>
      </c>
      <c r="I30" s="77">
        <f>G30</f>
        <v>4.5199999999999998E-4</v>
      </c>
      <c r="J30" s="28" t="str">
        <f t="shared" si="2"/>
        <v>tCO2/kWh</v>
      </c>
    </row>
    <row r="31" spans="2:11">
      <c r="D31" s="395"/>
    </row>
  </sheetData>
  <sheetProtection formatCells="0" formatColumns="0" formatRows="0"/>
  <phoneticPr fontId="8"/>
  <conditionalFormatting sqref="B30">
    <cfRule type="cellIs" dxfId="2" priority="1" operator="equal">
      <formula>"電気事業者名を選択"</formula>
    </cfRule>
  </conditionalFormatting>
  <conditionalFormatting sqref="C30:D30">
    <cfRule type="containsErrors" dxfId="1" priority="3">
      <formula>ISERROR(C30)</formula>
    </cfRule>
  </conditionalFormatting>
  <conditionalFormatting sqref="G30:H30">
    <cfRule type="containsErrors" dxfId="0" priority="2">
      <formula>ISERROR(G30)</formula>
    </cfRule>
  </conditionalFormatting>
  <hyperlinks>
    <hyperlink ref="L2" display="https://www.enecho.meti.go.jp/statistics/total_energy/carbon_2023.html" xr:uid="{00000000-0004-0000-0900-000000000000}"/>
    <hyperlink ref="L4" display="https://policies.env.go.jp/earth/ghg-santeikohyo/calc.html" xr:uid="{00000000-0004-0000-0900-000001000000}"/>
    <hyperlink ref="L7" display="https://www.enecho.meti.go.jp/statistics/total_energy/pdf/shv2023_cmt.pdf" xr:uid="{CAD123B5-3E5C-44A0-A52D-5595B054697F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83986-0C82-4B4B-9096-FF5DCB00F243}">
  <dimension ref="B1:M32"/>
  <sheetViews>
    <sheetView topLeftCell="E4" workbookViewId="0">
      <selection activeCell="J17" sqref="J17"/>
    </sheetView>
  </sheetViews>
  <sheetFormatPr defaultRowHeight="18.75"/>
  <cols>
    <col min="1" max="1" width="3" customWidth="1"/>
    <col min="2" max="2" width="44.625" customWidth="1"/>
    <col min="3" max="3" width="16.875" customWidth="1"/>
    <col min="4" max="6" width="17.5" customWidth="1"/>
    <col min="9" max="9" width="42.375" customWidth="1"/>
    <col min="10" max="10" width="15.75" customWidth="1"/>
    <col min="11" max="11" width="15.375" customWidth="1"/>
    <col min="12" max="12" width="48" customWidth="1"/>
    <col min="13" max="13" width="12.375" customWidth="1"/>
  </cols>
  <sheetData>
    <row r="1" spans="2:13">
      <c r="B1" t="s">
        <v>1113</v>
      </c>
    </row>
    <row r="2" spans="2:13">
      <c r="B2" t="s">
        <v>1145</v>
      </c>
    </row>
    <row r="3" spans="2:13">
      <c r="B3" s="38" t="s">
        <v>1107</v>
      </c>
      <c r="C3" s="38" t="s">
        <v>1115</v>
      </c>
      <c r="D3" s="38" t="s">
        <v>1116</v>
      </c>
      <c r="E3" s="38" t="s">
        <v>1117</v>
      </c>
      <c r="F3" s="38" t="s">
        <v>1132</v>
      </c>
    </row>
    <row r="4" spans="2:13">
      <c r="B4" s="5" t="s">
        <v>1114</v>
      </c>
      <c r="C4" s="5" t="s">
        <v>1129</v>
      </c>
      <c r="D4" s="5" t="s">
        <v>1121</v>
      </c>
      <c r="E4" s="5" t="s">
        <v>1112</v>
      </c>
      <c r="F4" s="380" t="s">
        <v>1123</v>
      </c>
      <c r="I4" s="15" t="s">
        <v>1128</v>
      </c>
    </row>
    <row r="5" spans="2:13">
      <c r="B5" s="5" t="s">
        <v>1137</v>
      </c>
      <c r="C5" s="5" t="s">
        <v>1119</v>
      </c>
      <c r="D5" s="5" t="s">
        <v>1122</v>
      </c>
      <c r="E5" s="5" t="s">
        <v>1131</v>
      </c>
      <c r="F5" s="380" t="s">
        <v>1124</v>
      </c>
      <c r="I5" s="5" t="s">
        <v>1107</v>
      </c>
      <c r="J5" s="12" t="s">
        <v>1115</v>
      </c>
      <c r="K5" s="12" t="s">
        <v>1133</v>
      </c>
      <c r="L5" s="12" t="s">
        <v>1134</v>
      </c>
      <c r="M5" s="12" t="s">
        <v>92</v>
      </c>
    </row>
    <row r="6" spans="2:13">
      <c r="B6" s="5" t="s">
        <v>1138</v>
      </c>
      <c r="C6" s="5"/>
      <c r="D6" s="5"/>
      <c r="E6" s="5"/>
      <c r="F6" s="5" t="s">
        <v>1125</v>
      </c>
      <c r="I6" s="9" t="s">
        <v>1114</v>
      </c>
      <c r="J6" s="12" t="s">
        <v>1119</v>
      </c>
      <c r="K6" s="12" t="s">
        <v>1121</v>
      </c>
      <c r="L6" s="382" t="str">
        <f>I6&amp;J6&amp;K6</f>
        <v>冷凍機内蔵型ショーケース冷蔵オープン</v>
      </c>
      <c r="M6" s="9">
        <v>85</v>
      </c>
    </row>
    <row r="7" spans="2:13">
      <c r="B7" s="12" t="s">
        <v>1135</v>
      </c>
      <c r="C7" s="5"/>
      <c r="D7" s="5"/>
      <c r="E7" s="5"/>
      <c r="F7" s="5" t="s">
        <v>1126</v>
      </c>
      <c r="I7" s="9" t="s">
        <v>1114</v>
      </c>
      <c r="J7" s="12" t="s">
        <v>1119</v>
      </c>
      <c r="K7" s="12" t="s">
        <v>1122</v>
      </c>
      <c r="L7" s="382" t="str">
        <f t="shared" ref="L7:L14" si="0">I7&amp;J7&amp;K7</f>
        <v>冷凍機内蔵型ショーケース冷蔵クローズド</v>
      </c>
      <c r="M7" s="9">
        <v>80</v>
      </c>
    </row>
    <row r="8" spans="2:13">
      <c r="B8" s="12" t="s">
        <v>1136</v>
      </c>
      <c r="C8" s="5"/>
      <c r="D8" s="5"/>
      <c r="E8" s="5"/>
      <c r="F8" s="5" t="s">
        <v>1127</v>
      </c>
      <c r="I8" s="9" t="s">
        <v>1114</v>
      </c>
      <c r="J8" s="12" t="s">
        <v>1119</v>
      </c>
      <c r="K8" s="12"/>
      <c r="L8" s="382" t="str">
        <f t="shared" si="0"/>
        <v>冷凍機内蔵型ショーケース冷蔵</v>
      </c>
      <c r="M8" s="9">
        <v>85</v>
      </c>
    </row>
    <row r="9" spans="2:13">
      <c r="B9" s="5"/>
      <c r="C9" s="5"/>
      <c r="D9" s="5"/>
      <c r="E9" s="5"/>
      <c r="F9" s="5"/>
      <c r="I9" s="9" t="s">
        <v>1114</v>
      </c>
      <c r="J9" s="12" t="s">
        <v>1129</v>
      </c>
      <c r="K9" s="12" t="s">
        <v>1121</v>
      </c>
      <c r="L9" s="382" t="str">
        <f t="shared" si="0"/>
        <v>冷凍機内蔵型ショーケース冷凍オープン</v>
      </c>
      <c r="M9" s="9">
        <v>95</v>
      </c>
    </row>
    <row r="10" spans="2:13">
      <c r="B10" s="5"/>
      <c r="C10" s="5"/>
      <c r="D10" s="5"/>
      <c r="E10" s="5"/>
      <c r="F10" s="5"/>
      <c r="I10" s="9" t="s">
        <v>1114</v>
      </c>
      <c r="J10" s="12" t="s">
        <v>1129</v>
      </c>
      <c r="K10" s="12" t="s">
        <v>1122</v>
      </c>
      <c r="L10" s="382" t="str">
        <f t="shared" si="0"/>
        <v>冷凍機内蔵型ショーケース冷凍クローズド</v>
      </c>
      <c r="M10" s="9">
        <v>95</v>
      </c>
    </row>
    <row r="11" spans="2:13">
      <c r="B11" s="5"/>
      <c r="C11" s="5"/>
      <c r="D11" s="5"/>
      <c r="E11" s="5"/>
      <c r="F11" s="5"/>
      <c r="I11" s="9" t="s">
        <v>1114</v>
      </c>
      <c r="J11" s="12" t="s">
        <v>1129</v>
      </c>
      <c r="K11" s="12"/>
      <c r="L11" s="382" t="str">
        <f t="shared" si="0"/>
        <v>冷凍機内蔵型ショーケース冷凍</v>
      </c>
      <c r="M11" s="9">
        <v>95</v>
      </c>
    </row>
    <row r="12" spans="2:13">
      <c r="B12" s="5"/>
      <c r="C12" s="5"/>
      <c r="D12" s="5"/>
      <c r="E12" s="5"/>
      <c r="F12" s="5"/>
      <c r="I12" s="9" t="s">
        <v>1114</v>
      </c>
      <c r="J12" s="12"/>
      <c r="K12" s="12" t="s">
        <v>1121</v>
      </c>
      <c r="L12" s="382" t="str">
        <f t="shared" si="0"/>
        <v>冷凍機内蔵型ショーケースオープン</v>
      </c>
      <c r="M12" s="9">
        <v>95</v>
      </c>
    </row>
    <row r="13" spans="2:13">
      <c r="B13" s="5"/>
      <c r="C13" s="5"/>
      <c r="D13" s="5"/>
      <c r="E13" s="5"/>
      <c r="F13" s="5"/>
      <c r="I13" s="9" t="s">
        <v>1114</v>
      </c>
      <c r="J13" s="12"/>
      <c r="K13" s="12" t="s">
        <v>1122</v>
      </c>
      <c r="L13" s="382" t="str">
        <f t="shared" si="0"/>
        <v>冷凍機内蔵型ショーケースクローズド</v>
      </c>
      <c r="M13" s="9">
        <v>95</v>
      </c>
    </row>
    <row r="14" spans="2:13">
      <c r="B14" s="5"/>
      <c r="C14" s="5"/>
      <c r="D14" s="5"/>
      <c r="E14" s="5"/>
      <c r="F14" s="5"/>
      <c r="I14" s="9" t="s">
        <v>1114</v>
      </c>
      <c r="J14" s="12"/>
      <c r="K14" s="12"/>
      <c r="L14" s="382" t="str">
        <f t="shared" si="0"/>
        <v>冷凍機内蔵型ショーケース</v>
      </c>
      <c r="M14" s="9">
        <v>95</v>
      </c>
    </row>
    <row r="15" spans="2:13">
      <c r="B15" s="5"/>
      <c r="C15" s="5"/>
      <c r="D15" s="5"/>
      <c r="E15" s="5"/>
      <c r="F15" s="5"/>
    </row>
    <row r="16" spans="2:13">
      <c r="B16" s="5"/>
      <c r="C16" s="5"/>
      <c r="D16" s="5"/>
      <c r="E16" s="5"/>
      <c r="F16" s="5"/>
      <c r="I16" s="381" t="s">
        <v>1130</v>
      </c>
    </row>
    <row r="17" spans="2:13">
      <c r="B17" s="5"/>
      <c r="C17" s="5"/>
      <c r="D17" s="5"/>
      <c r="E17" s="5"/>
      <c r="F17" s="5"/>
      <c r="I17" s="5" t="s">
        <v>1107</v>
      </c>
      <c r="J17" s="5" t="s">
        <v>1117</v>
      </c>
      <c r="K17" s="5"/>
      <c r="L17" s="12" t="s">
        <v>1134</v>
      </c>
      <c r="M17" s="12" t="s">
        <v>92</v>
      </c>
    </row>
    <row r="18" spans="2:13">
      <c r="B18" s="5"/>
      <c r="C18" s="5"/>
      <c r="D18" s="5"/>
      <c r="E18" s="5"/>
      <c r="F18" s="5"/>
      <c r="I18" s="5" t="s">
        <v>1137</v>
      </c>
      <c r="J18" s="5" t="s">
        <v>1112</v>
      </c>
      <c r="K18" s="5"/>
      <c r="L18" s="382" t="str">
        <f t="shared" ref="L18:L29" si="1">I18&amp;J18</f>
        <v>コンデンシングユニット(蒸発温度-20℃以上)有</v>
      </c>
      <c r="M18" s="9">
        <v>65</v>
      </c>
    </row>
    <row r="19" spans="2:13">
      <c r="B19" s="5"/>
      <c r="C19" s="5"/>
      <c r="D19" s="5"/>
      <c r="E19" s="5"/>
      <c r="F19" s="5"/>
      <c r="I19" s="5" t="s">
        <v>1137</v>
      </c>
      <c r="J19" s="5" t="s">
        <v>1131</v>
      </c>
      <c r="K19" s="5"/>
      <c r="L19" s="382" t="str">
        <f t="shared" si="1"/>
        <v>コンデンシングユニット(蒸発温度-20℃以上)一定速機</v>
      </c>
      <c r="M19" s="9">
        <v>73</v>
      </c>
    </row>
    <row r="20" spans="2:13">
      <c r="B20" s="5"/>
      <c r="C20" s="5"/>
      <c r="D20" s="5"/>
      <c r="E20" s="5"/>
      <c r="F20" s="5"/>
      <c r="I20" s="5" t="s">
        <v>1137</v>
      </c>
      <c r="J20" s="5"/>
      <c r="K20" s="5" t="s">
        <v>1140</v>
      </c>
      <c r="L20" s="382" t="str">
        <f t="shared" si="1"/>
        <v>コンデンシングユニット(蒸発温度-20℃以上)</v>
      </c>
      <c r="M20" s="9">
        <v>73</v>
      </c>
    </row>
    <row r="21" spans="2:13">
      <c r="B21" s="5"/>
      <c r="C21" s="5"/>
      <c r="D21" s="5"/>
      <c r="E21" s="5"/>
      <c r="F21" s="5"/>
      <c r="I21" s="5" t="s">
        <v>1138</v>
      </c>
      <c r="J21" s="5" t="s">
        <v>1112</v>
      </c>
      <c r="K21" s="5"/>
      <c r="L21" s="382" t="str">
        <f t="shared" si="1"/>
        <v>コンデンシングユニット(蒸発温度-20℃未満)有</v>
      </c>
      <c r="M21" s="9">
        <v>69</v>
      </c>
    </row>
    <row r="22" spans="2:13">
      <c r="B22" s="5"/>
      <c r="C22" s="5"/>
      <c r="D22" s="5"/>
      <c r="E22" s="5"/>
      <c r="F22" s="5"/>
      <c r="I22" s="5" t="s">
        <v>1138</v>
      </c>
      <c r="J22" s="5" t="s">
        <v>1131</v>
      </c>
      <c r="K22" s="5"/>
      <c r="L22" s="382" t="str">
        <f t="shared" si="1"/>
        <v>コンデンシングユニット(蒸発温度-20℃未満)一定速機</v>
      </c>
      <c r="M22" s="9">
        <v>73</v>
      </c>
    </row>
    <row r="23" spans="2:13">
      <c r="B23" s="5"/>
      <c r="C23" s="5"/>
      <c r="D23" s="5"/>
      <c r="E23" s="5"/>
      <c r="F23" s="5"/>
      <c r="I23" s="5" t="s">
        <v>1138</v>
      </c>
      <c r="J23" s="5"/>
      <c r="K23" s="5"/>
      <c r="L23" s="382" t="str">
        <f t="shared" si="1"/>
        <v>コンデンシングユニット(蒸発温度-20℃未満)</v>
      </c>
      <c r="M23" s="9">
        <v>73</v>
      </c>
    </row>
    <row r="24" spans="2:13">
      <c r="B24" s="5"/>
      <c r="C24" s="5"/>
      <c r="D24" s="5"/>
      <c r="E24" s="5"/>
      <c r="F24" s="5"/>
      <c r="I24" s="12" t="s">
        <v>1135</v>
      </c>
      <c r="J24" s="5" t="s">
        <v>1112</v>
      </c>
      <c r="K24" s="5"/>
      <c r="L24" s="382" t="str">
        <f t="shared" si="1"/>
        <v>冷凍冷蔵ユニット(高温・低温(冷蔵用))有</v>
      </c>
      <c r="M24" s="9">
        <v>65</v>
      </c>
    </row>
    <row r="25" spans="2:13">
      <c r="B25" s="5"/>
      <c r="C25" s="5"/>
      <c r="D25" s="5"/>
      <c r="E25" s="5"/>
      <c r="F25" s="5"/>
      <c r="I25" s="12" t="s">
        <v>1135</v>
      </c>
      <c r="J25" s="5" t="s">
        <v>1131</v>
      </c>
      <c r="K25" s="5"/>
      <c r="L25" s="382" t="str">
        <f t="shared" si="1"/>
        <v>冷凍冷蔵ユニット(高温・低温(冷蔵用))一定速機</v>
      </c>
      <c r="M25" s="9">
        <v>73</v>
      </c>
    </row>
    <row r="26" spans="2:13">
      <c r="B26" s="5"/>
      <c r="C26" s="5"/>
      <c r="D26" s="5"/>
      <c r="E26" s="5"/>
      <c r="F26" s="5"/>
      <c r="I26" s="12" t="s">
        <v>1135</v>
      </c>
      <c r="J26" s="5"/>
      <c r="K26" s="5"/>
      <c r="L26" s="382" t="str">
        <f t="shared" si="1"/>
        <v>冷凍冷蔵ユニット(高温・低温(冷蔵用))</v>
      </c>
      <c r="M26" s="9">
        <v>73</v>
      </c>
    </row>
    <row r="27" spans="2:13">
      <c r="B27" s="5"/>
      <c r="C27" s="5"/>
      <c r="D27" s="5"/>
      <c r="E27" s="5"/>
      <c r="F27" s="5"/>
      <c r="I27" s="12" t="s">
        <v>1136</v>
      </c>
      <c r="J27" s="5" t="s">
        <v>1112</v>
      </c>
      <c r="K27" s="5"/>
      <c r="L27" s="382" t="str">
        <f t="shared" si="1"/>
        <v>冷凍冷蔵ユニット(低温(冷凍用))有</v>
      </c>
      <c r="M27" s="9">
        <v>69</v>
      </c>
    </row>
    <row r="28" spans="2:13">
      <c r="B28" s="5"/>
      <c r="C28" s="5"/>
      <c r="D28" s="5"/>
      <c r="E28" s="5"/>
      <c r="F28" s="5"/>
      <c r="I28" s="12" t="s">
        <v>1136</v>
      </c>
      <c r="J28" s="5" t="s">
        <v>1131</v>
      </c>
      <c r="K28" s="5"/>
      <c r="L28" s="382" t="str">
        <f t="shared" si="1"/>
        <v>冷凍冷蔵ユニット(低温(冷凍用))一定速機</v>
      </c>
      <c r="M28" s="9">
        <v>73</v>
      </c>
    </row>
    <row r="29" spans="2:13">
      <c r="B29" s="5"/>
      <c r="C29" s="5"/>
      <c r="D29" s="5"/>
      <c r="E29" s="5"/>
      <c r="F29" s="5"/>
      <c r="I29" s="12" t="s">
        <v>1136</v>
      </c>
      <c r="J29" s="5"/>
      <c r="K29" s="5"/>
      <c r="L29" s="382" t="str">
        <f t="shared" si="1"/>
        <v>冷凍冷蔵ユニット(低温(冷凍用))</v>
      </c>
      <c r="M29" s="9">
        <v>73</v>
      </c>
    </row>
    <row r="30" spans="2:13">
      <c r="B30" s="5"/>
      <c r="C30" s="5"/>
      <c r="D30" s="5"/>
      <c r="E30" s="5"/>
      <c r="F30" s="5"/>
    </row>
    <row r="31" spans="2:13">
      <c r="B31" s="5"/>
      <c r="C31" s="5"/>
      <c r="D31" s="5"/>
      <c r="E31" s="5"/>
      <c r="F31" s="5"/>
    </row>
    <row r="32" spans="2:13">
      <c r="B32" s="5"/>
      <c r="C32" s="5"/>
      <c r="D32" s="5"/>
      <c r="E32" s="5"/>
      <c r="F32" s="5"/>
    </row>
  </sheetData>
  <phoneticPr fontId="8"/>
  <pageMargins left="0.7" right="0.7" top="0.75" bottom="0.75" header="0.3" footer="0.3"/>
  <pageSetup paperSize="9" orientation="portrait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22"/>
  <sheetViews>
    <sheetView workbookViewId="0">
      <selection activeCell="J17" sqref="J17"/>
    </sheetView>
  </sheetViews>
  <sheetFormatPr defaultRowHeight="18.75"/>
  <cols>
    <col min="2" max="2" width="11.625" customWidth="1"/>
  </cols>
  <sheetData>
    <row r="1" spans="1:6">
      <c r="B1" t="s">
        <v>327</v>
      </c>
      <c r="C1" t="s">
        <v>185</v>
      </c>
      <c r="D1" t="s">
        <v>328</v>
      </c>
      <c r="E1" t="s">
        <v>187</v>
      </c>
      <c r="F1" t="s">
        <v>188</v>
      </c>
    </row>
    <row r="2" spans="1:6">
      <c r="A2" t="s">
        <v>189</v>
      </c>
      <c r="B2" s="53">
        <v>0.75</v>
      </c>
      <c r="C2" s="30">
        <v>0.72099999999999997</v>
      </c>
      <c r="D2" s="30">
        <v>0.72099999999999997</v>
      </c>
      <c r="E2" s="30">
        <v>0.7</v>
      </c>
      <c r="F2" s="30"/>
    </row>
    <row r="3" spans="1:6">
      <c r="A3" t="s">
        <v>189</v>
      </c>
      <c r="B3" s="39">
        <v>1.1000000000000001</v>
      </c>
      <c r="C3" s="30">
        <v>0.75</v>
      </c>
      <c r="D3" s="30">
        <v>0.75</v>
      </c>
      <c r="E3" s="30">
        <v>0.72900000000000009</v>
      </c>
      <c r="F3" s="30"/>
    </row>
    <row r="4" spans="1:6">
      <c r="A4" t="s">
        <v>189</v>
      </c>
      <c r="B4" s="39">
        <v>1.5</v>
      </c>
      <c r="C4" s="30">
        <v>0.77200000000000002</v>
      </c>
      <c r="D4" s="30">
        <v>0.77200000000000002</v>
      </c>
      <c r="E4" s="30">
        <v>0.752</v>
      </c>
      <c r="F4" s="30"/>
    </row>
    <row r="5" spans="1:6">
      <c r="A5" t="s">
        <v>189</v>
      </c>
      <c r="B5" s="39">
        <v>2.2000000000000002</v>
      </c>
      <c r="C5" s="30">
        <v>0.79700000000000004</v>
      </c>
      <c r="D5" s="30">
        <v>0.79700000000000004</v>
      </c>
      <c r="E5" s="30">
        <v>0.77700000000000002</v>
      </c>
      <c r="F5" s="30"/>
    </row>
    <row r="6" spans="1:6">
      <c r="A6" t="s">
        <v>189</v>
      </c>
      <c r="B6" s="39">
        <v>3</v>
      </c>
      <c r="C6" s="30">
        <v>0.81499999999999995</v>
      </c>
      <c r="D6" s="30">
        <v>0.81499999999999995</v>
      </c>
      <c r="E6" s="30">
        <v>0.79700000000000004</v>
      </c>
      <c r="F6" s="30"/>
    </row>
    <row r="7" spans="1:6">
      <c r="A7" t="s">
        <v>189</v>
      </c>
      <c r="B7" s="39">
        <v>3.7</v>
      </c>
      <c r="C7" s="30">
        <v>0.82700000000000007</v>
      </c>
      <c r="D7" s="30">
        <v>0.82700000000000007</v>
      </c>
      <c r="E7" s="30">
        <v>0.80900000000000005</v>
      </c>
      <c r="F7" s="30"/>
    </row>
    <row r="8" spans="1:6">
      <c r="A8" t="s">
        <v>189</v>
      </c>
      <c r="B8" s="39">
        <v>4</v>
      </c>
      <c r="C8" s="30">
        <v>0.83099999999999996</v>
      </c>
      <c r="D8" s="30">
        <v>0.83099999999999996</v>
      </c>
      <c r="E8" s="30">
        <v>0.81400000000000006</v>
      </c>
      <c r="F8" s="30"/>
    </row>
    <row r="9" spans="1:6">
      <c r="A9" t="s">
        <v>189</v>
      </c>
      <c r="B9" s="39">
        <v>5.5</v>
      </c>
      <c r="C9" s="30">
        <v>0.84699999999999998</v>
      </c>
      <c r="D9" s="30">
        <v>0.84699999999999998</v>
      </c>
      <c r="E9" s="30">
        <v>0.83099999999999996</v>
      </c>
      <c r="F9" s="30"/>
    </row>
    <row r="10" spans="1:6">
      <c r="A10" t="s">
        <v>189</v>
      </c>
      <c r="B10" s="39">
        <v>7.5</v>
      </c>
      <c r="C10" s="30">
        <v>0.86</v>
      </c>
      <c r="D10" s="30">
        <v>0.86</v>
      </c>
      <c r="E10" s="30">
        <v>0.84699999999999998</v>
      </c>
      <c r="F10" s="30"/>
    </row>
    <row r="11" spans="1:6">
      <c r="A11" t="s">
        <v>189</v>
      </c>
      <c r="B11" s="54">
        <v>11</v>
      </c>
      <c r="C11" s="30">
        <v>0.87599999999999989</v>
      </c>
      <c r="D11" s="30">
        <v>0.87599999999999989</v>
      </c>
      <c r="E11" s="30">
        <v>0.8640000000000001</v>
      </c>
      <c r="F11" s="30"/>
    </row>
    <row r="12" spans="1:6">
      <c r="A12" t="s">
        <v>189</v>
      </c>
      <c r="B12" s="54">
        <v>15</v>
      </c>
      <c r="C12" s="30">
        <v>0.88700000000000001</v>
      </c>
      <c r="D12" s="30">
        <v>0.88700000000000001</v>
      </c>
      <c r="E12" s="30">
        <v>0.877</v>
      </c>
      <c r="F12" s="30"/>
    </row>
    <row r="13" spans="1:6">
      <c r="A13" t="s">
        <v>189</v>
      </c>
      <c r="B13" s="54">
        <v>18.5</v>
      </c>
      <c r="C13" s="30">
        <v>0.89300000000000002</v>
      </c>
      <c r="D13" s="30">
        <v>0.89300000000000002</v>
      </c>
      <c r="E13" s="30">
        <v>0.8859999999999999</v>
      </c>
      <c r="F13" s="30"/>
    </row>
    <row r="14" spans="1:6">
      <c r="A14" t="s">
        <v>189</v>
      </c>
      <c r="B14" s="54">
        <v>22</v>
      </c>
      <c r="C14" s="30">
        <v>0.89900000000000002</v>
      </c>
      <c r="D14" s="30">
        <v>0.89900000000000002</v>
      </c>
      <c r="E14" s="30">
        <v>0.89200000000000002</v>
      </c>
      <c r="F14" s="30"/>
    </row>
    <row r="15" spans="1:6">
      <c r="A15" t="s">
        <v>189</v>
      </c>
      <c r="B15" s="54">
        <v>30</v>
      </c>
      <c r="C15" s="30">
        <v>0.90700000000000003</v>
      </c>
      <c r="D15" s="30">
        <v>0.90700000000000003</v>
      </c>
      <c r="E15" s="30">
        <v>0.90200000000000002</v>
      </c>
      <c r="F15" s="30"/>
    </row>
    <row r="16" spans="1:6">
      <c r="A16" t="s">
        <v>189</v>
      </c>
      <c r="B16" s="54">
        <v>37</v>
      </c>
      <c r="C16" s="30">
        <v>0.91200000000000003</v>
      </c>
      <c r="D16" s="30">
        <v>0.91200000000000003</v>
      </c>
      <c r="E16" s="30">
        <v>0.90799999999999992</v>
      </c>
      <c r="F16" s="30"/>
    </row>
    <row r="17" spans="1:6">
      <c r="A17" t="s">
        <v>189</v>
      </c>
      <c r="B17" s="54">
        <v>45</v>
      </c>
      <c r="C17" s="30">
        <v>0.91700000000000004</v>
      </c>
      <c r="D17" s="30">
        <v>0.91700000000000004</v>
      </c>
      <c r="E17" s="30">
        <v>0.91400000000000003</v>
      </c>
      <c r="F17" s="30"/>
    </row>
    <row r="18" spans="1:6">
      <c r="A18" t="s">
        <v>189</v>
      </c>
      <c r="B18" s="54">
        <v>55</v>
      </c>
      <c r="C18" s="30">
        <v>0.92099999999999993</v>
      </c>
      <c r="D18" s="30">
        <v>0.92099999999999993</v>
      </c>
      <c r="E18" s="30">
        <v>0.91900000000000004</v>
      </c>
      <c r="F18" s="30"/>
    </row>
    <row r="19" spans="1:6">
      <c r="A19" t="s">
        <v>189</v>
      </c>
      <c r="B19" s="54">
        <v>75</v>
      </c>
      <c r="C19" s="30">
        <v>0.92700000000000005</v>
      </c>
      <c r="D19" s="30">
        <v>0.92700000000000005</v>
      </c>
      <c r="E19" s="30">
        <v>0.92599999999999993</v>
      </c>
      <c r="F19" s="30"/>
    </row>
    <row r="20" spans="1:6">
      <c r="A20" t="s">
        <v>189</v>
      </c>
      <c r="B20" s="54">
        <v>90</v>
      </c>
      <c r="C20" s="30">
        <v>0.93</v>
      </c>
      <c r="D20" s="30">
        <v>0.93</v>
      </c>
      <c r="E20" s="30">
        <v>0.92900000000000005</v>
      </c>
      <c r="F20" s="30"/>
    </row>
    <row r="21" spans="1:6">
      <c r="A21" t="s">
        <v>189</v>
      </c>
      <c r="B21" s="54">
        <v>110</v>
      </c>
      <c r="C21" s="30">
        <v>0.93299999999999994</v>
      </c>
      <c r="D21" s="30">
        <v>0.93299999999999994</v>
      </c>
      <c r="E21" s="30">
        <v>0.93299999999999994</v>
      </c>
      <c r="F21" s="30"/>
    </row>
    <row r="22" spans="1:6">
      <c r="A22" t="s">
        <v>189</v>
      </c>
      <c r="B22" s="54">
        <v>132</v>
      </c>
      <c r="C22" s="30">
        <v>0.93500000000000005</v>
      </c>
      <c r="D22" s="30">
        <v>0.93500000000000005</v>
      </c>
      <c r="E22" s="30">
        <v>0.93500000000000005</v>
      </c>
      <c r="F22" s="30"/>
    </row>
    <row r="23" spans="1:6">
      <c r="A23" t="s">
        <v>189</v>
      </c>
      <c r="B23" s="54">
        <v>160</v>
      </c>
      <c r="C23" s="30">
        <v>0.93799999999999994</v>
      </c>
      <c r="D23" s="30">
        <v>0.93799999999999994</v>
      </c>
      <c r="E23" s="30">
        <v>0.93799999999999994</v>
      </c>
      <c r="F23" s="30"/>
    </row>
    <row r="24" spans="1:6">
      <c r="A24" t="s">
        <v>149</v>
      </c>
      <c r="B24" s="54">
        <v>185</v>
      </c>
      <c r="C24" s="30">
        <v>0.94</v>
      </c>
      <c r="D24" s="30">
        <v>0.94</v>
      </c>
      <c r="E24" s="30">
        <v>0.94</v>
      </c>
      <c r="F24" s="30"/>
    </row>
    <row r="25" spans="1:6">
      <c r="A25" t="s">
        <v>149</v>
      </c>
      <c r="B25" s="54">
        <v>200</v>
      </c>
      <c r="C25" s="30">
        <v>0.94</v>
      </c>
      <c r="D25" s="30">
        <v>0.94</v>
      </c>
      <c r="E25" s="30">
        <v>0.94</v>
      </c>
      <c r="F25" s="30"/>
    </row>
    <row r="26" spans="1:6">
      <c r="A26" t="s">
        <v>149</v>
      </c>
      <c r="B26" s="54">
        <v>220</v>
      </c>
      <c r="C26" s="30">
        <v>0.94</v>
      </c>
      <c r="D26" s="30">
        <v>0.94</v>
      </c>
      <c r="E26" s="30">
        <v>0.94</v>
      </c>
      <c r="F26" s="30"/>
    </row>
    <row r="27" spans="1:6">
      <c r="A27" t="s">
        <v>149</v>
      </c>
      <c r="B27" s="54">
        <v>250</v>
      </c>
      <c r="C27" s="30">
        <v>0.94</v>
      </c>
      <c r="D27" s="30">
        <v>0.94</v>
      </c>
      <c r="E27" s="30">
        <v>0.94</v>
      </c>
      <c r="F27" s="30"/>
    </row>
    <row r="28" spans="1:6">
      <c r="A28" t="s">
        <v>149</v>
      </c>
      <c r="B28" s="54">
        <v>280</v>
      </c>
      <c r="C28" s="30">
        <v>0.94</v>
      </c>
      <c r="D28" s="30">
        <v>0.94</v>
      </c>
      <c r="E28" s="30">
        <v>0.94</v>
      </c>
      <c r="F28" s="30"/>
    </row>
    <row r="29" spans="1:6">
      <c r="A29" t="s">
        <v>149</v>
      </c>
      <c r="B29" s="54">
        <v>300</v>
      </c>
      <c r="C29" s="30">
        <v>0.94</v>
      </c>
      <c r="D29" s="30">
        <v>0.94</v>
      </c>
      <c r="E29" s="30">
        <v>0.94</v>
      </c>
      <c r="F29" s="30"/>
    </row>
    <row r="30" spans="1:6">
      <c r="A30" t="s">
        <v>149</v>
      </c>
      <c r="B30" s="54">
        <v>315</v>
      </c>
      <c r="C30" s="30">
        <v>0.94</v>
      </c>
      <c r="D30" s="30">
        <v>0.94</v>
      </c>
      <c r="E30" s="30">
        <v>0.94</v>
      </c>
      <c r="F30" s="30"/>
    </row>
    <row r="31" spans="1:6">
      <c r="A31" t="s">
        <v>189</v>
      </c>
      <c r="B31" s="54">
        <v>355</v>
      </c>
      <c r="C31" s="30">
        <v>0.94</v>
      </c>
      <c r="D31" s="30">
        <v>0.94</v>
      </c>
      <c r="E31" s="30">
        <v>0.94</v>
      </c>
      <c r="F31" s="30"/>
    </row>
    <row r="32" spans="1:6">
      <c r="A32" t="s">
        <v>189</v>
      </c>
      <c r="B32" s="54">
        <v>375</v>
      </c>
      <c r="C32" s="30">
        <v>0.94</v>
      </c>
      <c r="D32" s="30">
        <v>0.94</v>
      </c>
      <c r="E32" s="30">
        <v>0.94</v>
      </c>
      <c r="F32" s="30"/>
    </row>
    <row r="33" spans="1:6">
      <c r="A33" t="s">
        <v>190</v>
      </c>
      <c r="B33" s="53">
        <v>0.75</v>
      </c>
      <c r="C33" s="30">
        <v>0.77400000000000002</v>
      </c>
      <c r="D33" s="30">
        <v>0.79599999999999993</v>
      </c>
      <c r="E33" s="30">
        <v>0.75900000000000001</v>
      </c>
      <c r="F33" s="30"/>
    </row>
    <row r="34" spans="1:6">
      <c r="A34" t="s">
        <v>190</v>
      </c>
      <c r="B34" s="39">
        <v>1.1000000000000001</v>
      </c>
      <c r="C34" s="30">
        <v>0.79599999999999993</v>
      </c>
      <c r="D34" s="30">
        <v>0.81400000000000006</v>
      </c>
      <c r="E34" s="30">
        <v>0.78099999999999992</v>
      </c>
      <c r="F34" s="30"/>
    </row>
    <row r="35" spans="1:6">
      <c r="A35" t="s">
        <v>190</v>
      </c>
      <c r="B35" s="39">
        <v>1.5</v>
      </c>
      <c r="C35" s="30">
        <v>0.81299999999999994</v>
      </c>
      <c r="D35" s="30">
        <v>0.82799999999999996</v>
      </c>
      <c r="E35" s="30">
        <v>0.79799999999999993</v>
      </c>
      <c r="F35" s="30"/>
    </row>
    <row r="36" spans="1:6">
      <c r="A36" t="s">
        <v>190</v>
      </c>
      <c r="B36" s="39">
        <v>2.2000000000000002</v>
      </c>
      <c r="C36" s="30">
        <v>0.83200000000000007</v>
      </c>
      <c r="D36" s="30">
        <v>0.84299999999999997</v>
      </c>
      <c r="E36" s="30">
        <v>0.81799999999999995</v>
      </c>
      <c r="F36" s="30"/>
    </row>
    <row r="37" spans="1:6">
      <c r="A37" t="s">
        <v>190</v>
      </c>
      <c r="B37" s="39">
        <v>3</v>
      </c>
      <c r="C37" s="30">
        <v>0.84599999999999997</v>
      </c>
      <c r="D37" s="30">
        <v>0.85499999999999998</v>
      </c>
      <c r="E37" s="30">
        <v>0.83299999999999996</v>
      </c>
      <c r="F37" s="30"/>
    </row>
    <row r="38" spans="1:6">
      <c r="A38" t="s">
        <v>190</v>
      </c>
      <c r="B38" s="39">
        <v>3.7</v>
      </c>
      <c r="C38" s="30">
        <v>0.85499999999999998</v>
      </c>
      <c r="D38" s="30">
        <v>0.86299999999999999</v>
      </c>
      <c r="E38" s="30">
        <v>0.84299999999999997</v>
      </c>
      <c r="F38" s="30"/>
    </row>
    <row r="39" spans="1:6">
      <c r="A39" t="s">
        <v>190</v>
      </c>
      <c r="B39" s="39">
        <v>4</v>
      </c>
      <c r="C39" s="30">
        <v>0.85799999999999998</v>
      </c>
      <c r="D39" s="30">
        <v>0.86599999999999999</v>
      </c>
      <c r="E39" s="30">
        <v>0.84599999999999997</v>
      </c>
      <c r="F39" s="30"/>
    </row>
    <row r="40" spans="1:6">
      <c r="A40" t="s">
        <v>190</v>
      </c>
      <c r="B40" s="39">
        <v>5.5</v>
      </c>
      <c r="C40" s="30">
        <v>0.87</v>
      </c>
      <c r="D40" s="30">
        <v>0.877</v>
      </c>
      <c r="E40" s="30">
        <v>0.86</v>
      </c>
      <c r="F40" s="30"/>
    </row>
    <row r="41" spans="1:6">
      <c r="A41" t="s">
        <v>190</v>
      </c>
      <c r="B41" s="39">
        <v>7.5</v>
      </c>
      <c r="C41" s="30">
        <v>0.88099999999999989</v>
      </c>
      <c r="D41" s="30">
        <v>0.88700000000000001</v>
      </c>
      <c r="E41" s="30">
        <v>0.872</v>
      </c>
      <c r="F41" s="30"/>
    </row>
    <row r="42" spans="1:6">
      <c r="A42" t="s">
        <v>190</v>
      </c>
      <c r="B42" s="54">
        <v>11</v>
      </c>
      <c r="C42" s="30">
        <v>0.89400000000000002</v>
      </c>
      <c r="D42" s="30">
        <v>0.89800000000000002</v>
      </c>
      <c r="E42" s="30">
        <v>0.88700000000000001</v>
      </c>
      <c r="F42" s="30"/>
    </row>
    <row r="43" spans="1:6">
      <c r="A43" t="s">
        <v>190</v>
      </c>
      <c r="B43" s="54">
        <v>15</v>
      </c>
      <c r="C43" s="30">
        <v>0.90300000000000002</v>
      </c>
      <c r="D43" s="30">
        <v>0.90599999999999992</v>
      </c>
      <c r="E43" s="30">
        <v>0.89700000000000002</v>
      </c>
      <c r="F43" s="30"/>
    </row>
    <row r="44" spans="1:6">
      <c r="A44" t="s">
        <v>190</v>
      </c>
      <c r="B44" s="54">
        <v>18.5</v>
      </c>
      <c r="C44" s="30">
        <v>0.90900000000000003</v>
      </c>
      <c r="D44" s="30">
        <v>0.91200000000000003</v>
      </c>
      <c r="E44" s="30">
        <v>0.90400000000000003</v>
      </c>
      <c r="F44" s="30"/>
    </row>
    <row r="45" spans="1:6">
      <c r="A45" t="s">
        <v>190</v>
      </c>
      <c r="B45" s="54">
        <v>22</v>
      </c>
      <c r="C45" s="30">
        <v>0.91299999999999992</v>
      </c>
      <c r="D45" s="30">
        <v>0.91599999999999993</v>
      </c>
      <c r="E45" s="30">
        <v>0.90900000000000003</v>
      </c>
      <c r="F45" s="30"/>
    </row>
    <row r="46" spans="1:6">
      <c r="A46" t="s">
        <v>190</v>
      </c>
      <c r="B46" s="54">
        <v>30</v>
      </c>
      <c r="C46" s="30">
        <v>0.92</v>
      </c>
      <c r="D46" s="30">
        <v>0.92299999999999993</v>
      </c>
      <c r="E46" s="30">
        <v>0.91700000000000004</v>
      </c>
      <c r="F46" s="30"/>
    </row>
    <row r="47" spans="1:6">
      <c r="A47" t="s">
        <v>190</v>
      </c>
      <c r="B47" s="54">
        <v>37</v>
      </c>
      <c r="C47" s="30">
        <v>0.92500000000000004</v>
      </c>
      <c r="D47" s="30">
        <v>0.92700000000000005</v>
      </c>
      <c r="E47" s="30">
        <v>0.92200000000000004</v>
      </c>
      <c r="F47" s="30"/>
    </row>
    <row r="48" spans="1:6">
      <c r="A48" t="s">
        <v>190</v>
      </c>
      <c r="B48" s="54">
        <v>45</v>
      </c>
      <c r="C48" s="30">
        <v>0.92900000000000005</v>
      </c>
      <c r="D48" s="30">
        <v>0.93099999999999994</v>
      </c>
      <c r="E48" s="30">
        <v>0.92700000000000005</v>
      </c>
      <c r="F48" s="30"/>
    </row>
    <row r="49" spans="1:6">
      <c r="A49" t="s">
        <v>190</v>
      </c>
      <c r="B49" s="54">
        <v>55</v>
      </c>
      <c r="C49" s="30">
        <v>0.93200000000000005</v>
      </c>
      <c r="D49" s="30">
        <v>0.93500000000000005</v>
      </c>
      <c r="E49" s="30">
        <v>0.93099999999999994</v>
      </c>
      <c r="F49" s="30"/>
    </row>
    <row r="50" spans="1:6">
      <c r="A50" t="s">
        <v>190</v>
      </c>
      <c r="B50" s="54">
        <v>75</v>
      </c>
      <c r="C50" s="30">
        <v>0.93799999999999994</v>
      </c>
      <c r="D50" s="30">
        <v>0.94</v>
      </c>
      <c r="E50" s="30">
        <v>0.93700000000000006</v>
      </c>
      <c r="F50" s="30"/>
    </row>
    <row r="51" spans="1:6">
      <c r="A51" t="s">
        <v>190</v>
      </c>
      <c r="B51" s="54">
        <v>90</v>
      </c>
      <c r="C51" s="30">
        <v>0.94099999999999995</v>
      </c>
      <c r="D51" s="30">
        <v>0.94200000000000006</v>
      </c>
      <c r="E51" s="30">
        <v>0.94</v>
      </c>
      <c r="F51" s="30"/>
    </row>
    <row r="52" spans="1:6">
      <c r="A52" t="s">
        <v>190</v>
      </c>
      <c r="B52" s="54">
        <v>110</v>
      </c>
      <c r="C52" s="30">
        <v>0.94299999999999995</v>
      </c>
      <c r="D52" s="30">
        <v>0.94499999999999995</v>
      </c>
      <c r="E52" s="30">
        <v>0.94299999999999995</v>
      </c>
      <c r="F52" s="30"/>
    </row>
    <row r="53" spans="1:6">
      <c r="A53" t="s">
        <v>190</v>
      </c>
      <c r="B53" s="54">
        <v>132</v>
      </c>
      <c r="C53" s="30">
        <v>0.94599999999999995</v>
      </c>
      <c r="D53" s="30">
        <v>0.94700000000000006</v>
      </c>
      <c r="E53" s="30">
        <v>0.94599999999999995</v>
      </c>
      <c r="F53" s="30"/>
    </row>
    <row r="54" spans="1:6">
      <c r="A54" t="s">
        <v>190</v>
      </c>
      <c r="B54" s="54">
        <v>160</v>
      </c>
      <c r="C54" s="30">
        <v>0.94799999999999995</v>
      </c>
      <c r="D54" s="30">
        <v>0.94900000000000007</v>
      </c>
      <c r="E54" s="30">
        <v>0.94799999999999995</v>
      </c>
      <c r="F54" s="30"/>
    </row>
    <row r="55" spans="1:6">
      <c r="A55" t="s">
        <v>190</v>
      </c>
      <c r="B55" s="54">
        <v>185</v>
      </c>
      <c r="C55" s="30">
        <v>0.95</v>
      </c>
      <c r="D55" s="30">
        <v>0.95099999999999996</v>
      </c>
      <c r="E55" s="30">
        <v>0.95</v>
      </c>
      <c r="F55" s="30"/>
    </row>
    <row r="56" spans="1:6">
      <c r="A56" t="s">
        <v>190</v>
      </c>
      <c r="B56" s="54">
        <v>200</v>
      </c>
      <c r="C56" s="30">
        <v>0.95</v>
      </c>
      <c r="D56" s="30">
        <v>0.95099999999999996</v>
      </c>
      <c r="E56" s="30">
        <v>0.95</v>
      </c>
      <c r="F56" s="30"/>
    </row>
    <row r="57" spans="1:6">
      <c r="A57" t="s">
        <v>190</v>
      </c>
      <c r="B57" s="54">
        <v>220</v>
      </c>
      <c r="C57" s="30">
        <v>0.95</v>
      </c>
      <c r="D57" s="30">
        <v>0.95099999999999996</v>
      </c>
      <c r="E57" s="30">
        <v>0.95</v>
      </c>
      <c r="F57" s="30"/>
    </row>
    <row r="58" spans="1:6">
      <c r="A58" t="s">
        <v>190</v>
      </c>
      <c r="B58" s="54">
        <v>250</v>
      </c>
      <c r="C58" s="30">
        <v>0.95</v>
      </c>
      <c r="D58" s="30">
        <v>0.95099999999999996</v>
      </c>
      <c r="E58" s="30">
        <v>0.95</v>
      </c>
      <c r="F58" s="30"/>
    </row>
    <row r="59" spans="1:6">
      <c r="A59" t="s">
        <v>190</v>
      </c>
      <c r="B59" s="54">
        <v>280</v>
      </c>
      <c r="C59" s="30">
        <v>0.95</v>
      </c>
      <c r="D59" s="30">
        <v>0.95099999999999996</v>
      </c>
      <c r="E59" s="30">
        <v>0.95</v>
      </c>
      <c r="F59" s="30"/>
    </row>
    <row r="60" spans="1:6">
      <c r="A60" t="s">
        <v>190</v>
      </c>
      <c r="B60" s="54">
        <v>300</v>
      </c>
      <c r="C60" s="30">
        <v>0.95</v>
      </c>
      <c r="D60" s="30">
        <v>0.95099999999999996</v>
      </c>
      <c r="E60" s="30">
        <v>0.95</v>
      </c>
      <c r="F60" s="30"/>
    </row>
    <row r="61" spans="1:6">
      <c r="A61" t="s">
        <v>190</v>
      </c>
      <c r="B61" s="54">
        <v>315</v>
      </c>
      <c r="C61" s="30">
        <v>0.95</v>
      </c>
      <c r="D61" s="30">
        <v>0.95099999999999996</v>
      </c>
      <c r="E61" s="30">
        <v>0.95</v>
      </c>
      <c r="F61" s="30"/>
    </row>
    <row r="62" spans="1:6">
      <c r="A62" t="s">
        <v>190</v>
      </c>
      <c r="B62" s="54">
        <v>355</v>
      </c>
      <c r="C62" s="30">
        <v>0.95</v>
      </c>
      <c r="D62" s="30">
        <v>0.95099999999999996</v>
      </c>
      <c r="E62" s="30">
        <v>0.95</v>
      </c>
      <c r="F62" s="30"/>
    </row>
    <row r="63" spans="1:6">
      <c r="A63" t="s">
        <v>190</v>
      </c>
      <c r="B63" s="54">
        <v>375</v>
      </c>
      <c r="C63" s="30">
        <v>0.95</v>
      </c>
      <c r="D63" s="30">
        <v>0.95099999999999996</v>
      </c>
      <c r="E63" s="30">
        <v>0.95</v>
      </c>
      <c r="F63" s="30"/>
    </row>
    <row r="64" spans="1:6">
      <c r="A64" t="s">
        <v>191</v>
      </c>
      <c r="B64" s="53">
        <v>0.75</v>
      </c>
      <c r="C64" s="30">
        <v>0.80700000000000005</v>
      </c>
      <c r="D64" s="30">
        <v>0.82499999999999996</v>
      </c>
      <c r="E64" s="30">
        <v>0.78900000000000003</v>
      </c>
      <c r="F64" s="30"/>
    </row>
    <row r="65" spans="1:6">
      <c r="A65" t="s">
        <v>191</v>
      </c>
      <c r="B65" s="39">
        <v>1.1000000000000001</v>
      </c>
      <c r="C65" s="30">
        <v>0.82700000000000007</v>
      </c>
      <c r="D65" s="30">
        <v>0.84099999999999997</v>
      </c>
      <c r="E65" s="30">
        <v>0.81</v>
      </c>
      <c r="F65" s="30"/>
    </row>
    <row r="66" spans="1:6">
      <c r="A66" t="s">
        <v>191</v>
      </c>
      <c r="B66" s="39">
        <v>1.5</v>
      </c>
      <c r="C66" s="30">
        <v>0.84200000000000008</v>
      </c>
      <c r="D66" s="30">
        <v>0.85299999999999998</v>
      </c>
      <c r="E66" s="30">
        <v>0.82499999999999996</v>
      </c>
      <c r="F66" s="30"/>
    </row>
    <row r="67" spans="1:6">
      <c r="A67" t="s">
        <v>191</v>
      </c>
      <c r="B67" s="39">
        <v>2.2000000000000002</v>
      </c>
      <c r="C67" s="30">
        <v>0.8590000000000001</v>
      </c>
      <c r="D67" s="30">
        <v>0.86699999999999999</v>
      </c>
      <c r="E67" s="30">
        <v>0.84299999999999997</v>
      </c>
      <c r="F67" s="30"/>
    </row>
    <row r="68" spans="1:6">
      <c r="A68" t="s">
        <v>191</v>
      </c>
      <c r="B68" s="39">
        <v>3</v>
      </c>
      <c r="C68" s="30">
        <v>0.871</v>
      </c>
      <c r="D68" s="30">
        <v>0.877</v>
      </c>
      <c r="E68" s="30">
        <v>0.85599999999999998</v>
      </c>
      <c r="F68" s="30"/>
    </row>
    <row r="69" spans="1:6">
      <c r="A69" t="s">
        <v>191</v>
      </c>
      <c r="B69" s="39">
        <v>3.7</v>
      </c>
      <c r="C69" s="30">
        <v>0.878</v>
      </c>
      <c r="D69" s="30">
        <v>0.88400000000000001</v>
      </c>
      <c r="E69" s="30">
        <v>0.86499999999999999</v>
      </c>
      <c r="F69" s="30"/>
    </row>
    <row r="70" spans="1:6">
      <c r="A70" t="s">
        <v>191</v>
      </c>
      <c r="B70" s="39">
        <v>4</v>
      </c>
      <c r="C70" s="30">
        <v>0.88099999999999989</v>
      </c>
      <c r="D70" s="30">
        <v>0.8859999999999999</v>
      </c>
      <c r="E70" s="30">
        <v>0.86799999999999999</v>
      </c>
      <c r="F70" s="30"/>
    </row>
    <row r="71" spans="1:6">
      <c r="A71" t="s">
        <v>191</v>
      </c>
      <c r="B71" s="39">
        <v>5.5</v>
      </c>
      <c r="C71" s="30">
        <v>0.89200000000000002</v>
      </c>
      <c r="D71" s="30">
        <v>0.89599999999999991</v>
      </c>
      <c r="E71" s="30">
        <v>0.88</v>
      </c>
      <c r="F71" s="30"/>
    </row>
    <row r="72" spans="1:6">
      <c r="A72" t="s">
        <v>191</v>
      </c>
      <c r="B72" s="39">
        <v>7.5</v>
      </c>
      <c r="C72" s="30">
        <v>0.90099999999999991</v>
      </c>
      <c r="D72" s="30">
        <v>0.90400000000000003</v>
      </c>
      <c r="E72" s="30">
        <v>0.8909999999999999</v>
      </c>
      <c r="F72" s="30"/>
    </row>
    <row r="73" spans="1:6">
      <c r="A73" t="s">
        <v>191</v>
      </c>
      <c r="B73" s="54">
        <v>11</v>
      </c>
      <c r="C73" s="30">
        <v>0.91200000000000003</v>
      </c>
      <c r="D73" s="30">
        <v>0.91400000000000003</v>
      </c>
      <c r="E73" s="30">
        <v>0.90300000000000002</v>
      </c>
      <c r="F73" s="30"/>
    </row>
    <row r="74" spans="1:6">
      <c r="A74" t="s">
        <v>191</v>
      </c>
      <c r="B74" s="54">
        <v>15</v>
      </c>
      <c r="C74" s="30">
        <v>0.91900000000000004</v>
      </c>
      <c r="D74" s="30">
        <v>0.92099999999999993</v>
      </c>
      <c r="E74" s="30">
        <v>0.91200000000000003</v>
      </c>
      <c r="F74" s="30"/>
    </row>
    <row r="75" spans="1:6">
      <c r="A75" t="s">
        <v>191</v>
      </c>
      <c r="B75" s="54">
        <v>18.5</v>
      </c>
      <c r="C75" s="30">
        <v>0.92400000000000004</v>
      </c>
      <c r="D75" s="30">
        <v>0.92599999999999993</v>
      </c>
      <c r="E75" s="30">
        <v>0.91700000000000004</v>
      </c>
      <c r="F75" s="30"/>
    </row>
    <row r="76" spans="1:6">
      <c r="A76" t="s">
        <v>191</v>
      </c>
      <c r="B76" s="54">
        <v>22</v>
      </c>
      <c r="C76" s="30">
        <v>0.92700000000000005</v>
      </c>
      <c r="D76" s="30">
        <v>0.93</v>
      </c>
      <c r="E76" s="30">
        <v>0.92200000000000004</v>
      </c>
      <c r="F76" s="30"/>
    </row>
    <row r="77" spans="1:6">
      <c r="A77" t="s">
        <v>191</v>
      </c>
      <c r="B77" s="54">
        <v>30</v>
      </c>
      <c r="C77" s="30">
        <v>0.93299999999999994</v>
      </c>
      <c r="D77" s="30">
        <v>0.93599999999999994</v>
      </c>
      <c r="E77" s="30">
        <v>0.92900000000000005</v>
      </c>
      <c r="F77" s="30"/>
    </row>
    <row r="78" spans="1:6">
      <c r="A78" t="s">
        <v>191</v>
      </c>
      <c r="B78" s="54">
        <v>37</v>
      </c>
      <c r="C78" s="30">
        <v>0.93700000000000006</v>
      </c>
      <c r="D78" s="30">
        <v>0.93900000000000006</v>
      </c>
      <c r="E78" s="30">
        <v>0.93299999999999994</v>
      </c>
      <c r="F78" s="30"/>
    </row>
    <row r="79" spans="1:6">
      <c r="A79" t="s">
        <v>191</v>
      </c>
      <c r="B79" s="54">
        <v>45</v>
      </c>
      <c r="C79" s="30">
        <v>0.94</v>
      </c>
      <c r="D79" s="30">
        <v>0.94200000000000006</v>
      </c>
      <c r="E79" s="30">
        <v>0.93700000000000006</v>
      </c>
      <c r="F79" s="30"/>
    </row>
    <row r="80" spans="1:6">
      <c r="A80" t="s">
        <v>191</v>
      </c>
      <c r="B80" s="54">
        <v>55</v>
      </c>
      <c r="C80" s="30">
        <v>0.94299999999999995</v>
      </c>
      <c r="D80" s="30">
        <v>0.94599999999999995</v>
      </c>
      <c r="E80" s="30">
        <v>0.94099999999999995</v>
      </c>
      <c r="F80" s="30"/>
    </row>
    <row r="81" spans="1:6">
      <c r="A81" t="s">
        <v>191</v>
      </c>
      <c r="B81" s="54">
        <v>75</v>
      </c>
      <c r="C81" s="30">
        <v>0.94700000000000006</v>
      </c>
      <c r="D81" s="30">
        <v>0.95</v>
      </c>
      <c r="E81" s="30">
        <v>0.94599999999999995</v>
      </c>
      <c r="F81" s="30"/>
    </row>
    <row r="82" spans="1:6">
      <c r="A82" t="s">
        <v>191</v>
      </c>
      <c r="B82" s="54">
        <v>90</v>
      </c>
      <c r="C82" s="30">
        <v>0.95</v>
      </c>
      <c r="D82" s="30">
        <v>0.95200000000000007</v>
      </c>
      <c r="E82" s="30">
        <v>0.94900000000000007</v>
      </c>
      <c r="F82" s="30"/>
    </row>
    <row r="83" spans="1:6">
      <c r="A83" t="s">
        <v>191</v>
      </c>
      <c r="B83" s="54">
        <v>110</v>
      </c>
      <c r="C83" s="30">
        <v>0.95200000000000007</v>
      </c>
      <c r="D83" s="30">
        <v>0.95400000000000007</v>
      </c>
      <c r="E83" s="30">
        <v>0.95099999999999996</v>
      </c>
      <c r="F83" s="30"/>
    </row>
    <row r="84" spans="1:6">
      <c r="A84" t="s">
        <v>191</v>
      </c>
      <c r="B84" s="54">
        <v>132</v>
      </c>
      <c r="C84" s="30">
        <v>0.95400000000000007</v>
      </c>
      <c r="D84" s="30">
        <v>0.95599999999999996</v>
      </c>
      <c r="E84" s="30">
        <v>0.95400000000000007</v>
      </c>
      <c r="F84" s="30"/>
    </row>
    <row r="85" spans="1:6">
      <c r="A85" t="s">
        <v>191</v>
      </c>
      <c r="B85" s="54">
        <v>160</v>
      </c>
      <c r="C85" s="30">
        <v>0.95599999999999996</v>
      </c>
      <c r="D85" s="30">
        <v>0.95799999999999996</v>
      </c>
      <c r="E85" s="30">
        <v>0.95599999999999996</v>
      </c>
      <c r="F85" s="30"/>
    </row>
    <row r="86" spans="1:6">
      <c r="A86" t="s">
        <v>191</v>
      </c>
      <c r="B86" s="54">
        <v>185</v>
      </c>
      <c r="C86" s="30">
        <v>0.95799999999999996</v>
      </c>
      <c r="D86" s="30">
        <v>0.96</v>
      </c>
      <c r="E86" s="30">
        <v>0.95799999999999996</v>
      </c>
      <c r="F86" s="30"/>
    </row>
    <row r="87" spans="1:6">
      <c r="A87" t="s">
        <v>191</v>
      </c>
      <c r="B87" s="54">
        <v>200</v>
      </c>
      <c r="C87" s="30">
        <v>0.95799999999999996</v>
      </c>
      <c r="D87" s="30">
        <v>0.96</v>
      </c>
      <c r="E87" s="30">
        <v>0.95799999999999996</v>
      </c>
      <c r="F87" s="30"/>
    </row>
    <row r="88" spans="1:6">
      <c r="A88" t="s">
        <v>191</v>
      </c>
      <c r="B88" s="54">
        <v>220</v>
      </c>
      <c r="C88" s="30">
        <v>0.95799999999999996</v>
      </c>
      <c r="D88" s="30">
        <v>0.96</v>
      </c>
      <c r="E88" s="30">
        <v>0.95799999999999996</v>
      </c>
      <c r="F88" s="30"/>
    </row>
    <row r="89" spans="1:6">
      <c r="A89" t="s">
        <v>191</v>
      </c>
      <c r="B89" s="54">
        <v>250</v>
      </c>
      <c r="C89" s="30">
        <v>0.95799999999999996</v>
      </c>
      <c r="D89" s="30">
        <v>0.96</v>
      </c>
      <c r="E89" s="30">
        <v>0.95799999999999996</v>
      </c>
      <c r="F89" s="30"/>
    </row>
    <row r="90" spans="1:6">
      <c r="A90" t="s">
        <v>191</v>
      </c>
      <c r="B90" s="54">
        <v>280</v>
      </c>
      <c r="C90" s="30">
        <v>0.95799999999999996</v>
      </c>
      <c r="D90" s="30">
        <v>0.96</v>
      </c>
      <c r="E90" s="30">
        <v>0.95799999999999996</v>
      </c>
      <c r="F90" s="30"/>
    </row>
    <row r="91" spans="1:6">
      <c r="A91" t="s">
        <v>191</v>
      </c>
      <c r="B91" s="54">
        <v>300</v>
      </c>
      <c r="C91" s="30">
        <v>0.95799999999999996</v>
      </c>
      <c r="D91" s="30">
        <v>0.96</v>
      </c>
      <c r="E91" s="30">
        <v>0.95799999999999996</v>
      </c>
      <c r="F91" s="30"/>
    </row>
    <row r="92" spans="1:6">
      <c r="A92" t="s">
        <v>191</v>
      </c>
      <c r="B92" s="54">
        <v>315</v>
      </c>
      <c r="C92" s="30">
        <v>0.95799999999999996</v>
      </c>
      <c r="D92" s="30">
        <v>0.96</v>
      </c>
      <c r="E92" s="30">
        <v>0.95799999999999996</v>
      </c>
      <c r="F92" s="30"/>
    </row>
    <row r="93" spans="1:6">
      <c r="A93" t="s">
        <v>191</v>
      </c>
      <c r="B93" s="54">
        <v>355</v>
      </c>
      <c r="C93" s="30">
        <v>0.95799999999999996</v>
      </c>
      <c r="D93" s="30">
        <v>0.96</v>
      </c>
      <c r="E93" s="30">
        <v>0.95799999999999996</v>
      </c>
      <c r="F93" s="30"/>
    </row>
    <row r="94" spans="1:6">
      <c r="A94" t="s">
        <v>191</v>
      </c>
      <c r="B94" s="54">
        <v>375</v>
      </c>
      <c r="C94" s="30">
        <v>0.95799999999999996</v>
      </c>
      <c r="D94" s="30">
        <v>0.96</v>
      </c>
      <c r="E94" s="30">
        <v>0.95799999999999996</v>
      </c>
      <c r="F94" s="30"/>
    </row>
    <row r="95" spans="1:6">
      <c r="A95" t="s">
        <v>192</v>
      </c>
      <c r="B95" s="53">
        <v>0.75</v>
      </c>
      <c r="C95" s="30">
        <v>0.83499999999999996</v>
      </c>
      <c r="D95" s="30">
        <v>0.85699999999999998</v>
      </c>
      <c r="E95" s="30">
        <v>0.82700000000000007</v>
      </c>
      <c r="F95" s="30">
        <v>0.78400000000000003</v>
      </c>
    </row>
    <row r="96" spans="1:6">
      <c r="A96" t="s">
        <v>192</v>
      </c>
      <c r="B96" s="39">
        <v>1.1000000000000001</v>
      </c>
      <c r="C96" s="30">
        <v>0.85199999999999998</v>
      </c>
      <c r="D96" s="30">
        <v>0.872</v>
      </c>
      <c r="E96" s="30">
        <v>0.84499999999999997</v>
      </c>
      <c r="F96" s="30">
        <v>0.80799999999999994</v>
      </c>
    </row>
    <row r="97" spans="1:6">
      <c r="A97" t="s">
        <v>192</v>
      </c>
      <c r="B97" s="39">
        <v>1.5</v>
      </c>
      <c r="C97" s="30">
        <v>0.86499999999999999</v>
      </c>
      <c r="D97" s="30">
        <v>0.88200000000000001</v>
      </c>
      <c r="E97" s="30">
        <v>0.8590000000000001</v>
      </c>
      <c r="F97" s="30">
        <v>0.82599999999999996</v>
      </c>
    </row>
    <row r="98" spans="1:6">
      <c r="A98" t="s">
        <v>192</v>
      </c>
      <c r="B98" s="39">
        <v>2.2000000000000002</v>
      </c>
      <c r="C98" s="30">
        <v>0.88</v>
      </c>
      <c r="D98" s="30">
        <v>0.89500000000000002</v>
      </c>
      <c r="E98" s="30">
        <v>0.87400000000000011</v>
      </c>
      <c r="F98" s="30">
        <v>0.84499999999999997</v>
      </c>
    </row>
    <row r="99" spans="1:6">
      <c r="A99" t="s">
        <v>192</v>
      </c>
      <c r="B99" s="39">
        <v>3</v>
      </c>
      <c r="C99" s="30">
        <v>0.8909999999999999</v>
      </c>
      <c r="D99" s="30">
        <v>0.90400000000000003</v>
      </c>
      <c r="E99" s="30">
        <v>0.8859999999999999</v>
      </c>
      <c r="F99" s="30">
        <v>0.8590000000000001</v>
      </c>
    </row>
    <row r="100" spans="1:6">
      <c r="A100" t="s">
        <v>192</v>
      </c>
      <c r="B100" s="39">
        <v>3.7</v>
      </c>
      <c r="C100" s="30">
        <v>0.89700000000000002</v>
      </c>
      <c r="D100" s="30">
        <v>0.90900000000000003</v>
      </c>
      <c r="E100" s="30">
        <v>0.89300000000000002</v>
      </c>
      <c r="F100" s="30">
        <v>0.86799999999999999</v>
      </c>
    </row>
    <row r="101" spans="1:6">
      <c r="A101" t="s">
        <v>192</v>
      </c>
      <c r="B101" s="39">
        <v>4</v>
      </c>
      <c r="C101" s="30">
        <v>0.9</v>
      </c>
      <c r="D101" s="30">
        <v>0.91099999999999992</v>
      </c>
      <c r="E101" s="30">
        <v>0.89500000000000002</v>
      </c>
      <c r="F101" s="30">
        <v>0.871</v>
      </c>
    </row>
    <row r="102" spans="1:6">
      <c r="A102" t="s">
        <v>192</v>
      </c>
      <c r="B102" s="39">
        <v>5.5</v>
      </c>
      <c r="C102" s="30">
        <v>0.90900000000000003</v>
      </c>
      <c r="D102" s="30">
        <v>0.91900000000000004</v>
      </c>
      <c r="E102" s="30">
        <v>0.90500000000000003</v>
      </c>
      <c r="F102" s="30">
        <v>0.88300000000000001</v>
      </c>
    </row>
    <row r="103" spans="1:6">
      <c r="A103" t="s">
        <v>192</v>
      </c>
      <c r="B103" s="39">
        <v>7.5</v>
      </c>
      <c r="C103" s="30">
        <v>0.91700000000000004</v>
      </c>
      <c r="D103" s="30">
        <v>0.92599999999999993</v>
      </c>
      <c r="E103" s="30">
        <v>0.91299999999999992</v>
      </c>
      <c r="F103" s="30">
        <v>0.89300000000000002</v>
      </c>
    </row>
    <row r="104" spans="1:6">
      <c r="A104" t="s">
        <v>192</v>
      </c>
      <c r="B104" s="54">
        <v>11</v>
      </c>
      <c r="C104" s="30">
        <v>0.92599999999999993</v>
      </c>
      <c r="D104" s="30">
        <v>0.93299999999999994</v>
      </c>
      <c r="E104" s="30">
        <v>0.92299999999999993</v>
      </c>
      <c r="F104" s="30">
        <v>0.90400000000000003</v>
      </c>
    </row>
    <row r="105" spans="1:6">
      <c r="A105" t="s">
        <v>192</v>
      </c>
      <c r="B105" s="54">
        <v>15</v>
      </c>
      <c r="C105" s="30">
        <v>0.93299999999999994</v>
      </c>
      <c r="D105" s="30">
        <v>0.93900000000000006</v>
      </c>
      <c r="E105" s="30">
        <v>0.92900000000000005</v>
      </c>
      <c r="F105" s="30">
        <v>0.91200000000000003</v>
      </c>
    </row>
    <row r="106" spans="1:6">
      <c r="A106" t="s">
        <v>192</v>
      </c>
      <c r="B106" s="54">
        <v>18.5</v>
      </c>
      <c r="C106" s="30">
        <v>0.93700000000000006</v>
      </c>
      <c r="D106" s="30">
        <v>0.94200000000000006</v>
      </c>
      <c r="E106" s="30">
        <v>0.93400000000000005</v>
      </c>
      <c r="F106" s="30">
        <v>0.91700000000000004</v>
      </c>
    </row>
    <row r="107" spans="1:6">
      <c r="A107" t="s">
        <v>192</v>
      </c>
      <c r="B107" s="54">
        <v>22</v>
      </c>
      <c r="C107" s="30">
        <v>0.94</v>
      </c>
      <c r="D107" s="30">
        <v>0.94499999999999995</v>
      </c>
      <c r="E107" s="30">
        <v>0.93700000000000006</v>
      </c>
      <c r="F107" s="30">
        <v>0.92099999999999993</v>
      </c>
    </row>
    <row r="108" spans="1:6">
      <c r="A108" t="s">
        <v>192</v>
      </c>
      <c r="B108" s="54">
        <v>30</v>
      </c>
      <c r="C108" s="30">
        <v>0.94499999999999995</v>
      </c>
      <c r="D108" s="30">
        <v>0.94900000000000007</v>
      </c>
      <c r="E108" s="30">
        <v>0.94200000000000006</v>
      </c>
      <c r="F108" s="30">
        <v>0.92700000000000005</v>
      </c>
    </row>
    <row r="109" spans="1:6">
      <c r="A109" t="s">
        <v>192</v>
      </c>
      <c r="B109" s="54">
        <v>37</v>
      </c>
      <c r="C109" s="30">
        <v>0.94799999999999995</v>
      </c>
      <c r="D109" s="30">
        <v>0.95200000000000007</v>
      </c>
      <c r="E109" s="30">
        <v>0.94499999999999995</v>
      </c>
      <c r="F109" s="30">
        <v>0.93099999999999994</v>
      </c>
    </row>
    <row r="110" spans="1:6">
      <c r="A110" t="s">
        <v>192</v>
      </c>
      <c r="B110" s="54">
        <v>45</v>
      </c>
      <c r="C110" s="30">
        <v>0.95</v>
      </c>
      <c r="D110" s="30">
        <v>0.95400000000000007</v>
      </c>
      <c r="E110" s="30">
        <v>0.94799999999999995</v>
      </c>
      <c r="F110" s="30">
        <v>0.93400000000000005</v>
      </c>
    </row>
    <row r="111" spans="1:6">
      <c r="A111" t="s">
        <v>192</v>
      </c>
      <c r="B111" s="54">
        <v>55</v>
      </c>
      <c r="C111" s="30">
        <v>0.95299999999999996</v>
      </c>
      <c r="D111" s="30">
        <v>0.95700000000000007</v>
      </c>
      <c r="E111" s="30">
        <v>0.95099999999999996</v>
      </c>
      <c r="F111" s="30">
        <v>0.93700000000000006</v>
      </c>
    </row>
    <row r="112" spans="1:6">
      <c r="A112" t="s">
        <v>192</v>
      </c>
      <c r="B112" s="54">
        <v>75</v>
      </c>
      <c r="C112" s="30">
        <v>0.95599999999999996</v>
      </c>
      <c r="D112" s="30">
        <v>0.96</v>
      </c>
      <c r="E112" s="30">
        <v>0.95400000000000007</v>
      </c>
      <c r="F112" s="30">
        <v>0.94200000000000006</v>
      </c>
    </row>
    <row r="113" spans="1:6">
      <c r="A113" t="s">
        <v>192</v>
      </c>
      <c r="B113" s="54">
        <v>90</v>
      </c>
      <c r="C113" s="30">
        <v>0.95799999999999996</v>
      </c>
      <c r="D113" s="30">
        <v>0.96099999999999997</v>
      </c>
      <c r="E113" s="30">
        <v>0.95599999999999996</v>
      </c>
      <c r="F113" s="30">
        <v>0.94400000000000006</v>
      </c>
    </row>
    <row r="114" spans="1:6">
      <c r="A114" t="s">
        <v>192</v>
      </c>
      <c r="B114" s="54">
        <v>110</v>
      </c>
      <c r="C114" s="30">
        <v>0.96</v>
      </c>
      <c r="D114" s="30">
        <v>0.96299999999999997</v>
      </c>
      <c r="E114" s="30">
        <v>0.95799999999999996</v>
      </c>
      <c r="F114" s="30">
        <v>0.94700000000000006</v>
      </c>
    </row>
    <row r="115" spans="1:6">
      <c r="A115" t="s">
        <v>192</v>
      </c>
      <c r="B115" s="54">
        <v>132</v>
      </c>
      <c r="C115" s="30">
        <v>0.96200000000000008</v>
      </c>
      <c r="D115" s="30">
        <v>0.96400000000000008</v>
      </c>
      <c r="E115" s="30">
        <v>0.96</v>
      </c>
      <c r="F115" s="30">
        <v>0.94900000000000007</v>
      </c>
    </row>
    <row r="116" spans="1:6">
      <c r="A116" t="s">
        <v>192</v>
      </c>
      <c r="B116" s="54">
        <v>160</v>
      </c>
      <c r="C116" s="30">
        <v>0.96299999999999997</v>
      </c>
      <c r="D116" s="30">
        <v>0.96599999999999997</v>
      </c>
      <c r="E116" s="30">
        <v>0.96200000000000008</v>
      </c>
      <c r="F116" s="30">
        <v>0.95099999999999996</v>
      </c>
    </row>
    <row r="117" spans="1:6">
      <c r="A117" t="s">
        <v>192</v>
      </c>
      <c r="B117" s="54">
        <v>200</v>
      </c>
      <c r="C117" s="30">
        <v>0.96499999999999997</v>
      </c>
      <c r="D117" s="30">
        <v>0.96700000000000008</v>
      </c>
      <c r="E117" s="30">
        <v>0.96299999999999997</v>
      </c>
      <c r="F117" s="30">
        <v>0.95400000000000007</v>
      </c>
    </row>
    <row r="118" spans="1:6">
      <c r="A118" t="s">
        <v>192</v>
      </c>
      <c r="B118" s="54">
        <v>250</v>
      </c>
      <c r="C118" s="30">
        <v>0.96499999999999997</v>
      </c>
      <c r="D118" s="30">
        <v>0.96700000000000008</v>
      </c>
      <c r="E118" s="30">
        <v>0.96499999999999997</v>
      </c>
      <c r="F118" s="30">
        <v>0.95400000000000007</v>
      </c>
    </row>
    <row r="119" spans="1:6">
      <c r="A119" t="s">
        <v>192</v>
      </c>
      <c r="B119" s="54">
        <v>315</v>
      </c>
      <c r="C119" s="57">
        <v>0.96499999999999997</v>
      </c>
      <c r="D119" s="57">
        <v>0.96700000000000008</v>
      </c>
      <c r="E119" s="57">
        <v>0.96599999999999997</v>
      </c>
      <c r="F119" s="57">
        <v>0.95400000000000007</v>
      </c>
    </row>
    <row r="120" spans="1:6">
      <c r="A120" t="s">
        <v>192</v>
      </c>
      <c r="B120" s="55">
        <v>355</v>
      </c>
      <c r="C120" s="57">
        <v>0.96499999999999997</v>
      </c>
      <c r="D120" s="57">
        <v>0.96700000000000008</v>
      </c>
      <c r="E120" s="57">
        <v>0.96599999999999997</v>
      </c>
      <c r="F120" s="57">
        <v>0.95400000000000007</v>
      </c>
    </row>
    <row r="121" spans="1:6">
      <c r="A121" t="s">
        <v>192</v>
      </c>
      <c r="B121" s="55">
        <v>375</v>
      </c>
      <c r="C121" s="30">
        <v>0.96499999999999997</v>
      </c>
      <c r="D121" s="30">
        <v>0.96700000000000008</v>
      </c>
      <c r="E121" s="30">
        <v>0.96599999999999997</v>
      </c>
      <c r="F121" s="30">
        <v>0.95400000000000007</v>
      </c>
    </row>
    <row r="122" spans="1:6">
      <c r="A122" t="s">
        <v>192</v>
      </c>
      <c r="B122" s="54">
        <v>1000</v>
      </c>
      <c r="C122" s="57">
        <v>0.96499999999999997</v>
      </c>
      <c r="D122" s="57">
        <v>0.96700000000000008</v>
      </c>
      <c r="E122" s="57">
        <v>0.96599999999999997</v>
      </c>
      <c r="F122" s="57">
        <v>0.95400000000000007</v>
      </c>
    </row>
  </sheetData>
  <phoneticPr fontId="8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Q35"/>
  <sheetViews>
    <sheetView workbookViewId="0">
      <selection activeCell="J17" sqref="J17"/>
    </sheetView>
  </sheetViews>
  <sheetFormatPr defaultRowHeight="18.75"/>
  <cols>
    <col min="1" max="1" width="3" customWidth="1"/>
    <col min="2" max="4" width="17.5" customWidth="1"/>
    <col min="5" max="5" width="3" customWidth="1"/>
    <col min="6" max="8" width="17.5" customWidth="1"/>
    <col min="9" max="9" width="3" customWidth="1"/>
    <col min="10" max="10" width="8.125" style="39" customWidth="1"/>
    <col min="11" max="11" width="8.125" style="44" customWidth="1"/>
    <col min="12" max="12" width="1.5" style="44" customWidth="1"/>
    <col min="13" max="14" width="8.125" style="44" customWidth="1"/>
    <col min="15" max="15" width="1.5" style="44" customWidth="1"/>
    <col min="16" max="17" width="8.125" style="44" customWidth="1"/>
  </cols>
  <sheetData>
    <row r="2" spans="2:17">
      <c r="B2" s="673" t="s">
        <v>199</v>
      </c>
      <c r="C2" s="673"/>
      <c r="D2" s="673"/>
      <c r="E2" s="37"/>
      <c r="F2" s="673" t="s">
        <v>288</v>
      </c>
      <c r="G2" s="673"/>
      <c r="H2" s="673"/>
      <c r="J2" s="676" t="s">
        <v>313</v>
      </c>
      <c r="K2" s="676"/>
      <c r="L2" s="676"/>
      <c r="M2" s="676"/>
      <c r="N2" s="676"/>
      <c r="O2" s="676"/>
      <c r="P2" s="676"/>
      <c r="Q2" s="676"/>
    </row>
    <row r="3" spans="2:17">
      <c r="B3" s="38" t="s">
        <v>314</v>
      </c>
      <c r="C3" s="38" t="s">
        <v>315</v>
      </c>
      <c r="D3" s="38" t="s">
        <v>316</v>
      </c>
      <c r="E3" s="37"/>
      <c r="F3" s="38" t="s">
        <v>317</v>
      </c>
      <c r="G3" s="38" t="s">
        <v>315</v>
      </c>
      <c r="H3" s="38" t="s">
        <v>316</v>
      </c>
      <c r="J3" s="38" t="s">
        <v>14</v>
      </c>
      <c r="K3" s="41" t="s">
        <v>200</v>
      </c>
      <c r="L3" s="42"/>
      <c r="M3" s="41" t="s">
        <v>14</v>
      </c>
      <c r="N3" s="41" t="s">
        <v>200</v>
      </c>
      <c r="O3" s="42"/>
      <c r="P3" s="41" t="s">
        <v>14</v>
      </c>
      <c r="Q3" s="41" t="s">
        <v>200</v>
      </c>
    </row>
    <row r="4" spans="2:17">
      <c r="B4" s="5" t="s">
        <v>201</v>
      </c>
      <c r="C4" s="5" t="s">
        <v>202</v>
      </c>
      <c r="D4" s="5" t="s">
        <v>203</v>
      </c>
      <c r="E4" s="37"/>
      <c r="F4" s="5" t="s">
        <v>289</v>
      </c>
      <c r="G4" s="5" t="s">
        <v>290</v>
      </c>
      <c r="H4" s="5" t="s">
        <v>291</v>
      </c>
      <c r="J4" s="40">
        <v>1</v>
      </c>
      <c r="K4" s="43">
        <f>J4*860</f>
        <v>860</v>
      </c>
      <c r="M4" s="43">
        <v>10.6</v>
      </c>
      <c r="N4" s="43">
        <f>M4*860</f>
        <v>9116</v>
      </c>
      <c r="P4" s="43">
        <v>67</v>
      </c>
      <c r="Q4" s="43">
        <f>P4*860</f>
        <v>57620</v>
      </c>
    </row>
    <row r="5" spans="2:17">
      <c r="B5" s="5" t="s">
        <v>204</v>
      </c>
      <c r="C5" s="5" t="s">
        <v>205</v>
      </c>
      <c r="D5" s="5" t="s">
        <v>206</v>
      </c>
      <c r="E5" s="37"/>
      <c r="F5" s="5" t="s">
        <v>207</v>
      </c>
      <c r="G5" s="5" t="s">
        <v>208</v>
      </c>
      <c r="H5" s="5" t="s">
        <v>292</v>
      </c>
      <c r="J5" s="40">
        <v>1.1000000000000001</v>
      </c>
      <c r="K5" s="43">
        <f t="shared" ref="K5:K35" si="0">J5*860</f>
        <v>946.00000000000011</v>
      </c>
      <c r="M5" s="43">
        <v>11.2</v>
      </c>
      <c r="N5" s="43">
        <f t="shared" ref="N5:N35" si="1">M5*860</f>
        <v>9632</v>
      </c>
      <c r="P5" s="43">
        <v>71</v>
      </c>
      <c r="Q5" s="43">
        <f t="shared" ref="Q5:Q35" si="2">P5*860</f>
        <v>61060</v>
      </c>
    </row>
    <row r="6" spans="2:17">
      <c r="B6" s="5" t="s">
        <v>207</v>
      </c>
      <c r="C6" s="5" t="s">
        <v>208</v>
      </c>
      <c r="D6" s="5" t="s">
        <v>209</v>
      </c>
      <c r="E6" s="37"/>
      <c r="F6" s="5" t="s">
        <v>213</v>
      </c>
      <c r="G6" s="5" t="s">
        <v>214</v>
      </c>
      <c r="H6" s="5" t="s">
        <v>212</v>
      </c>
      <c r="J6" s="40">
        <v>1.2</v>
      </c>
      <c r="K6" s="43">
        <f t="shared" si="0"/>
        <v>1032</v>
      </c>
      <c r="M6" s="43">
        <v>11.8</v>
      </c>
      <c r="N6" s="43">
        <f t="shared" si="1"/>
        <v>10148</v>
      </c>
      <c r="P6" s="43">
        <v>75</v>
      </c>
      <c r="Q6" s="43">
        <f t="shared" si="2"/>
        <v>64500</v>
      </c>
    </row>
    <row r="7" spans="2:17">
      <c r="B7" s="5" t="s">
        <v>210</v>
      </c>
      <c r="C7" s="5" t="s">
        <v>211</v>
      </c>
      <c r="D7" s="5" t="s">
        <v>212</v>
      </c>
      <c r="E7" s="37"/>
      <c r="F7" s="5" t="s">
        <v>219</v>
      </c>
      <c r="G7" s="5" t="s">
        <v>220</v>
      </c>
      <c r="H7" s="5" t="s">
        <v>215</v>
      </c>
      <c r="J7" s="40">
        <v>1.4</v>
      </c>
      <c r="K7" s="43">
        <f t="shared" si="0"/>
        <v>1204</v>
      </c>
      <c r="M7" s="43">
        <v>12.5</v>
      </c>
      <c r="N7" s="43">
        <f t="shared" si="1"/>
        <v>10750</v>
      </c>
      <c r="P7" s="43">
        <v>80</v>
      </c>
      <c r="Q7" s="43">
        <f t="shared" si="2"/>
        <v>68800</v>
      </c>
    </row>
    <row r="8" spans="2:17">
      <c r="B8" s="5" t="s">
        <v>213</v>
      </c>
      <c r="C8" s="5" t="s">
        <v>214</v>
      </c>
      <c r="D8" s="5" t="s">
        <v>215</v>
      </c>
      <c r="E8" s="37"/>
      <c r="F8" s="5" t="s">
        <v>222</v>
      </c>
      <c r="G8" s="5" t="s">
        <v>223</v>
      </c>
      <c r="H8" s="5" t="s">
        <v>218</v>
      </c>
      <c r="J8" s="40">
        <v>1.6</v>
      </c>
      <c r="K8" s="43">
        <f t="shared" si="0"/>
        <v>1376</v>
      </c>
      <c r="M8" s="43">
        <v>13.2</v>
      </c>
      <c r="N8" s="43">
        <f t="shared" si="1"/>
        <v>11352</v>
      </c>
      <c r="P8" s="43">
        <v>85</v>
      </c>
      <c r="Q8" s="43">
        <f t="shared" si="2"/>
        <v>73100</v>
      </c>
    </row>
    <row r="9" spans="2:17">
      <c r="B9" s="5" t="s">
        <v>216</v>
      </c>
      <c r="C9" s="5" t="s">
        <v>217</v>
      </c>
      <c r="D9" s="5" t="s">
        <v>218</v>
      </c>
      <c r="E9" s="37"/>
      <c r="F9" s="5" t="s">
        <v>228</v>
      </c>
      <c r="G9" s="5" t="s">
        <v>229</v>
      </c>
      <c r="H9" s="5" t="s">
        <v>224</v>
      </c>
      <c r="J9" s="40">
        <v>1.8</v>
      </c>
      <c r="K9" s="43">
        <f t="shared" si="0"/>
        <v>1548</v>
      </c>
      <c r="M9" s="43">
        <v>14</v>
      </c>
      <c r="N9" s="43">
        <f t="shared" si="1"/>
        <v>12040</v>
      </c>
      <c r="P9" s="43">
        <v>90</v>
      </c>
      <c r="Q9" s="43">
        <f t="shared" si="2"/>
        <v>77400</v>
      </c>
    </row>
    <row r="10" spans="2:17">
      <c r="B10" s="5" t="s">
        <v>219</v>
      </c>
      <c r="C10" s="5" t="s">
        <v>220</v>
      </c>
      <c r="D10" s="5" t="s">
        <v>221</v>
      </c>
      <c r="E10" s="37"/>
      <c r="F10" s="5" t="s">
        <v>293</v>
      </c>
      <c r="G10" s="5" t="s">
        <v>294</v>
      </c>
      <c r="H10" s="5" t="s">
        <v>230</v>
      </c>
      <c r="J10" s="40">
        <v>2</v>
      </c>
      <c r="K10" s="43">
        <f t="shared" si="0"/>
        <v>1720</v>
      </c>
      <c r="M10" s="43">
        <v>15</v>
      </c>
      <c r="N10" s="43">
        <f t="shared" si="1"/>
        <v>12900</v>
      </c>
      <c r="P10" s="43">
        <v>95</v>
      </c>
      <c r="Q10" s="43">
        <f t="shared" si="2"/>
        <v>81700</v>
      </c>
    </row>
    <row r="11" spans="2:17">
      <c r="B11" s="5" t="s">
        <v>222</v>
      </c>
      <c r="C11" s="5" t="s">
        <v>223</v>
      </c>
      <c r="D11" s="5" t="s">
        <v>224</v>
      </c>
      <c r="E11" s="37"/>
      <c r="F11" s="5" t="s">
        <v>295</v>
      </c>
      <c r="G11" s="5" t="s">
        <v>296</v>
      </c>
      <c r="H11" s="5" t="s">
        <v>236</v>
      </c>
      <c r="J11" s="40">
        <v>2.2000000000000002</v>
      </c>
      <c r="K11" s="43">
        <f t="shared" si="0"/>
        <v>1892.0000000000002</v>
      </c>
      <c r="M11" s="43">
        <v>16</v>
      </c>
      <c r="N11" s="43">
        <f t="shared" si="1"/>
        <v>13760</v>
      </c>
      <c r="P11" s="43">
        <v>100</v>
      </c>
      <c r="Q11" s="43">
        <f t="shared" si="2"/>
        <v>86000</v>
      </c>
    </row>
    <row r="12" spans="2:17">
      <c r="B12" s="5" t="s">
        <v>225</v>
      </c>
      <c r="C12" s="5" t="s">
        <v>226</v>
      </c>
      <c r="D12" s="5" t="s">
        <v>227</v>
      </c>
      <c r="E12" s="37"/>
      <c r="F12" s="5" t="s">
        <v>240</v>
      </c>
      <c r="G12" s="5" t="s">
        <v>241</v>
      </c>
      <c r="H12" s="5" t="s">
        <v>239</v>
      </c>
      <c r="J12" s="40">
        <v>2.5</v>
      </c>
      <c r="K12" s="43">
        <f t="shared" si="0"/>
        <v>2150</v>
      </c>
      <c r="M12" s="43">
        <v>17</v>
      </c>
      <c r="N12" s="43">
        <f t="shared" si="1"/>
        <v>14620</v>
      </c>
      <c r="P12" s="43">
        <v>106</v>
      </c>
      <c r="Q12" s="43">
        <f t="shared" si="2"/>
        <v>91160</v>
      </c>
    </row>
    <row r="13" spans="2:17">
      <c r="B13" s="5" t="s">
        <v>228</v>
      </c>
      <c r="C13" s="5" t="s">
        <v>229</v>
      </c>
      <c r="D13" s="5" t="s">
        <v>230</v>
      </c>
      <c r="E13" s="37"/>
      <c r="F13" s="5" t="s">
        <v>297</v>
      </c>
      <c r="G13" s="5" t="s">
        <v>298</v>
      </c>
      <c r="H13" s="5" t="s">
        <v>248</v>
      </c>
      <c r="J13" s="40">
        <v>2.8</v>
      </c>
      <c r="K13" s="43">
        <f t="shared" si="0"/>
        <v>2408</v>
      </c>
      <c r="M13" s="43">
        <v>18</v>
      </c>
      <c r="N13" s="43">
        <f t="shared" si="1"/>
        <v>15480</v>
      </c>
      <c r="P13" s="43">
        <v>112</v>
      </c>
      <c r="Q13" s="43">
        <f t="shared" si="2"/>
        <v>96320</v>
      </c>
    </row>
    <row r="14" spans="2:17">
      <c r="B14" s="5" t="s">
        <v>231</v>
      </c>
      <c r="C14" s="5" t="s">
        <v>232</v>
      </c>
      <c r="D14" s="5" t="s">
        <v>233</v>
      </c>
      <c r="E14" s="37"/>
      <c r="F14" s="5" t="s">
        <v>299</v>
      </c>
      <c r="G14" s="5" t="s">
        <v>300</v>
      </c>
      <c r="H14" s="5" t="s">
        <v>251</v>
      </c>
      <c r="J14" s="40">
        <v>3</v>
      </c>
      <c r="K14" s="43">
        <f t="shared" si="0"/>
        <v>2580</v>
      </c>
      <c r="M14" s="43">
        <v>19</v>
      </c>
      <c r="N14" s="43">
        <f t="shared" si="1"/>
        <v>16340</v>
      </c>
      <c r="P14" s="43">
        <v>118</v>
      </c>
      <c r="Q14" s="43">
        <f t="shared" si="2"/>
        <v>101480</v>
      </c>
    </row>
    <row r="15" spans="2:17">
      <c r="B15" s="5" t="s">
        <v>234</v>
      </c>
      <c r="C15" s="5" t="s">
        <v>235</v>
      </c>
      <c r="D15" s="5" t="s">
        <v>236</v>
      </c>
      <c r="E15" s="37"/>
      <c r="F15" s="5" t="s">
        <v>301</v>
      </c>
      <c r="G15" s="5" t="s">
        <v>302</v>
      </c>
      <c r="H15" s="5" t="s">
        <v>257</v>
      </c>
      <c r="J15" s="40">
        <v>3.2</v>
      </c>
      <c r="K15" s="43">
        <f t="shared" si="0"/>
        <v>2752</v>
      </c>
      <c r="M15" s="43">
        <v>20</v>
      </c>
      <c r="N15" s="43">
        <f t="shared" si="1"/>
        <v>17200</v>
      </c>
      <c r="P15" s="43">
        <v>125</v>
      </c>
      <c r="Q15" s="43">
        <f t="shared" si="2"/>
        <v>107500</v>
      </c>
    </row>
    <row r="16" spans="2:17">
      <c r="B16" s="5" t="s">
        <v>237</v>
      </c>
      <c r="C16" s="5" t="s">
        <v>238</v>
      </c>
      <c r="D16" s="5" t="s">
        <v>239</v>
      </c>
      <c r="E16" s="37"/>
      <c r="F16" s="5" t="s">
        <v>264</v>
      </c>
      <c r="G16" s="5" t="s">
        <v>265</v>
      </c>
      <c r="H16" s="5" t="s">
        <v>263</v>
      </c>
      <c r="J16" s="40">
        <v>3.4</v>
      </c>
      <c r="K16" s="43">
        <f t="shared" si="0"/>
        <v>2924</v>
      </c>
      <c r="M16" s="43">
        <v>21.2</v>
      </c>
      <c r="N16" s="43">
        <f t="shared" si="1"/>
        <v>18232</v>
      </c>
      <c r="P16" s="43">
        <v>132</v>
      </c>
      <c r="Q16" s="43">
        <f t="shared" si="2"/>
        <v>113520</v>
      </c>
    </row>
    <row r="17" spans="2:17">
      <c r="B17" s="5" t="s">
        <v>240</v>
      </c>
      <c r="C17" s="5" t="s">
        <v>241</v>
      </c>
      <c r="D17" s="5" t="s">
        <v>242</v>
      </c>
      <c r="E17" s="37"/>
      <c r="F17" s="5" t="s">
        <v>267</v>
      </c>
      <c r="G17" s="5" t="s">
        <v>268</v>
      </c>
      <c r="H17" s="5" t="s">
        <v>266</v>
      </c>
      <c r="J17" s="40">
        <v>3.6</v>
      </c>
      <c r="K17" s="43">
        <f t="shared" si="0"/>
        <v>3096</v>
      </c>
      <c r="M17" s="43">
        <v>22.4</v>
      </c>
      <c r="N17" s="43">
        <f t="shared" si="1"/>
        <v>19264</v>
      </c>
      <c r="P17" s="43">
        <v>140</v>
      </c>
      <c r="Q17" s="43">
        <f t="shared" si="2"/>
        <v>120400</v>
      </c>
    </row>
    <row r="18" spans="2:17">
      <c r="B18" s="5" t="s">
        <v>243</v>
      </c>
      <c r="C18" s="5" t="s">
        <v>244</v>
      </c>
      <c r="D18" s="5" t="s">
        <v>245</v>
      </c>
      <c r="E18" s="37"/>
      <c r="F18" s="5" t="s">
        <v>303</v>
      </c>
      <c r="G18" s="5" t="s">
        <v>304</v>
      </c>
      <c r="H18" s="5" t="s">
        <v>269</v>
      </c>
      <c r="J18" s="40">
        <v>3.8</v>
      </c>
      <c r="K18" s="43">
        <f t="shared" si="0"/>
        <v>3268</v>
      </c>
      <c r="M18" s="43">
        <v>23.6</v>
      </c>
      <c r="N18" s="43">
        <f t="shared" si="1"/>
        <v>20296</v>
      </c>
      <c r="P18" s="43">
        <v>150</v>
      </c>
      <c r="Q18" s="43">
        <f t="shared" si="2"/>
        <v>129000</v>
      </c>
    </row>
    <row r="19" spans="2:17">
      <c r="B19" s="5" t="s">
        <v>246</v>
      </c>
      <c r="C19" s="5" t="s">
        <v>247</v>
      </c>
      <c r="D19" s="5" t="s">
        <v>248</v>
      </c>
      <c r="E19" s="37"/>
      <c r="F19" s="5" t="s">
        <v>305</v>
      </c>
      <c r="G19" s="5" t="s">
        <v>306</v>
      </c>
      <c r="H19" s="5" t="s">
        <v>272</v>
      </c>
      <c r="J19" s="40">
        <v>4</v>
      </c>
      <c r="K19" s="43">
        <f t="shared" si="0"/>
        <v>3440</v>
      </c>
      <c r="M19" s="43">
        <v>25</v>
      </c>
      <c r="N19" s="43">
        <f t="shared" si="1"/>
        <v>21500</v>
      </c>
      <c r="P19" s="43">
        <v>160</v>
      </c>
      <c r="Q19" s="43">
        <f t="shared" si="2"/>
        <v>137600</v>
      </c>
    </row>
    <row r="20" spans="2:17">
      <c r="B20" s="5" t="s">
        <v>249</v>
      </c>
      <c r="C20" s="5" t="s">
        <v>250</v>
      </c>
      <c r="D20" s="5" t="s">
        <v>251</v>
      </c>
      <c r="E20" s="37"/>
      <c r="F20" s="5" t="s">
        <v>276</v>
      </c>
      <c r="G20" s="5" t="s">
        <v>277</v>
      </c>
      <c r="H20" s="5" t="s">
        <v>275</v>
      </c>
      <c r="J20" s="40">
        <v>4.2</v>
      </c>
      <c r="K20" s="43">
        <f t="shared" si="0"/>
        <v>3612</v>
      </c>
      <c r="M20" s="43">
        <v>26.5</v>
      </c>
      <c r="N20" s="43">
        <f t="shared" si="1"/>
        <v>22790</v>
      </c>
      <c r="P20" s="43">
        <v>170</v>
      </c>
      <c r="Q20" s="43">
        <f t="shared" si="2"/>
        <v>146200</v>
      </c>
    </row>
    <row r="21" spans="2:17">
      <c r="B21" s="5" t="s">
        <v>252</v>
      </c>
      <c r="C21" s="5" t="s">
        <v>253</v>
      </c>
      <c r="D21" s="5" t="s">
        <v>254</v>
      </c>
      <c r="E21" s="37"/>
      <c r="F21" s="5" t="s">
        <v>307</v>
      </c>
      <c r="G21" s="5" t="s">
        <v>308</v>
      </c>
      <c r="H21" s="5" t="s">
        <v>278</v>
      </c>
      <c r="J21" s="40">
        <v>4.5</v>
      </c>
      <c r="K21" s="43">
        <f t="shared" si="0"/>
        <v>3870</v>
      </c>
      <c r="M21" s="43">
        <v>28</v>
      </c>
      <c r="N21" s="43">
        <f t="shared" si="1"/>
        <v>24080</v>
      </c>
      <c r="P21" s="43">
        <v>180</v>
      </c>
      <c r="Q21" s="43">
        <f t="shared" si="2"/>
        <v>154800</v>
      </c>
    </row>
    <row r="22" spans="2:17">
      <c r="B22" s="5" t="s">
        <v>255</v>
      </c>
      <c r="C22" s="5" t="s">
        <v>256</v>
      </c>
      <c r="D22" s="5" t="s">
        <v>257</v>
      </c>
      <c r="E22" s="37"/>
      <c r="F22" s="5" t="s">
        <v>309</v>
      </c>
      <c r="G22" s="5" t="s">
        <v>310</v>
      </c>
      <c r="H22" s="5" t="s">
        <v>281</v>
      </c>
      <c r="J22" s="40">
        <v>4.8</v>
      </c>
      <c r="K22" s="43">
        <f t="shared" si="0"/>
        <v>4128</v>
      </c>
      <c r="M22" s="43">
        <v>30</v>
      </c>
      <c r="N22" s="43">
        <f t="shared" si="1"/>
        <v>25800</v>
      </c>
      <c r="P22" s="43">
        <v>190</v>
      </c>
      <c r="Q22" s="43">
        <f t="shared" si="2"/>
        <v>163400</v>
      </c>
    </row>
    <row r="23" spans="2:17">
      <c r="B23" s="5" t="s">
        <v>258</v>
      </c>
      <c r="C23" s="5" t="s">
        <v>259</v>
      </c>
      <c r="D23" s="5" t="s">
        <v>260</v>
      </c>
      <c r="E23" s="37"/>
      <c r="F23" s="5" t="s">
        <v>285</v>
      </c>
      <c r="G23" s="5" t="s">
        <v>286</v>
      </c>
      <c r="H23" s="5" t="s">
        <v>284</v>
      </c>
      <c r="J23" s="40">
        <v>5</v>
      </c>
      <c r="K23" s="43">
        <f t="shared" si="0"/>
        <v>4300</v>
      </c>
      <c r="M23" s="43">
        <v>31.5</v>
      </c>
      <c r="N23" s="43">
        <f t="shared" si="1"/>
        <v>27090</v>
      </c>
      <c r="P23" s="43">
        <v>200</v>
      </c>
      <c r="Q23" s="43">
        <f t="shared" si="2"/>
        <v>172000</v>
      </c>
    </row>
    <row r="24" spans="2:17">
      <c r="B24" s="5" t="s">
        <v>261</v>
      </c>
      <c r="C24" s="5" t="s">
        <v>262</v>
      </c>
      <c r="D24" s="5" t="s">
        <v>263</v>
      </c>
      <c r="E24" s="37"/>
      <c r="F24" s="5" t="s">
        <v>311</v>
      </c>
      <c r="G24" s="5" t="s">
        <v>312</v>
      </c>
      <c r="H24" s="5" t="s">
        <v>287</v>
      </c>
      <c r="J24" s="40">
        <v>5.3</v>
      </c>
      <c r="K24" s="43">
        <f t="shared" si="0"/>
        <v>4558</v>
      </c>
      <c r="M24" s="43">
        <v>33.5</v>
      </c>
      <c r="N24" s="43">
        <f t="shared" si="1"/>
        <v>28810</v>
      </c>
      <c r="P24" s="43">
        <v>212</v>
      </c>
      <c r="Q24" s="43">
        <f t="shared" si="2"/>
        <v>182320</v>
      </c>
    </row>
    <row r="25" spans="2:17">
      <c r="B25" s="5" t="s">
        <v>264</v>
      </c>
      <c r="C25" s="5" t="s">
        <v>265</v>
      </c>
      <c r="D25" s="5" t="s">
        <v>266</v>
      </c>
      <c r="E25" s="37"/>
      <c r="F25" s="37"/>
      <c r="G25" s="37"/>
      <c r="H25" s="37"/>
      <c r="J25" s="40">
        <v>5.6</v>
      </c>
      <c r="K25" s="43">
        <f t="shared" si="0"/>
        <v>4816</v>
      </c>
      <c r="M25" s="43">
        <v>35.5</v>
      </c>
      <c r="N25" s="43">
        <f t="shared" si="1"/>
        <v>30530</v>
      </c>
      <c r="P25" s="43">
        <v>224</v>
      </c>
      <c r="Q25" s="43">
        <f t="shared" si="2"/>
        <v>192640</v>
      </c>
    </row>
    <row r="26" spans="2:17">
      <c r="B26" s="5" t="s">
        <v>267</v>
      </c>
      <c r="C26" s="5" t="s">
        <v>268</v>
      </c>
      <c r="D26" s="5" t="s">
        <v>269</v>
      </c>
      <c r="E26" s="37"/>
      <c r="F26" s="37"/>
      <c r="G26" s="37"/>
      <c r="H26" s="37"/>
      <c r="J26" s="40">
        <v>6</v>
      </c>
      <c r="K26" s="43">
        <f t="shared" si="0"/>
        <v>5160</v>
      </c>
      <c r="M26" s="43">
        <v>37.5</v>
      </c>
      <c r="N26" s="43">
        <f t="shared" si="1"/>
        <v>32250</v>
      </c>
      <c r="P26" s="43">
        <v>236</v>
      </c>
      <c r="Q26" s="43">
        <f t="shared" si="2"/>
        <v>202960</v>
      </c>
    </row>
    <row r="27" spans="2:17">
      <c r="B27" s="5" t="s">
        <v>270</v>
      </c>
      <c r="C27" s="5" t="s">
        <v>271</v>
      </c>
      <c r="D27" s="5" t="s">
        <v>272</v>
      </c>
      <c r="E27" s="37"/>
      <c r="F27" s="37"/>
      <c r="G27" s="37"/>
      <c r="H27" s="37"/>
      <c r="J27" s="40">
        <v>6.3</v>
      </c>
      <c r="K27" s="43">
        <f t="shared" si="0"/>
        <v>5418</v>
      </c>
      <c r="M27" s="43">
        <v>40</v>
      </c>
      <c r="N27" s="43">
        <f t="shared" si="1"/>
        <v>34400</v>
      </c>
      <c r="P27" s="43">
        <v>250</v>
      </c>
      <c r="Q27" s="43">
        <f t="shared" si="2"/>
        <v>215000</v>
      </c>
    </row>
    <row r="28" spans="2:17">
      <c r="B28" s="5" t="s">
        <v>273</v>
      </c>
      <c r="C28" s="5" t="s">
        <v>274</v>
      </c>
      <c r="D28" s="5" t="s">
        <v>275</v>
      </c>
      <c r="E28" s="37"/>
      <c r="F28" s="37"/>
      <c r="G28" s="37"/>
      <c r="H28" s="37"/>
      <c r="J28" s="40">
        <v>6.7</v>
      </c>
      <c r="K28" s="43">
        <f t="shared" si="0"/>
        <v>5762</v>
      </c>
      <c r="M28" s="43">
        <v>42.5</v>
      </c>
      <c r="N28" s="43">
        <f t="shared" si="1"/>
        <v>36550</v>
      </c>
      <c r="P28" s="43">
        <v>265</v>
      </c>
      <c r="Q28" s="43">
        <f t="shared" si="2"/>
        <v>227900</v>
      </c>
    </row>
    <row r="29" spans="2:17">
      <c r="B29" s="5" t="s">
        <v>276</v>
      </c>
      <c r="C29" s="5" t="s">
        <v>277</v>
      </c>
      <c r="D29" s="5" t="s">
        <v>278</v>
      </c>
      <c r="E29" s="37"/>
      <c r="F29" s="37"/>
      <c r="G29" s="37"/>
      <c r="H29" s="37"/>
      <c r="J29" s="40">
        <v>7.1</v>
      </c>
      <c r="K29" s="43">
        <f t="shared" si="0"/>
        <v>6106</v>
      </c>
      <c r="M29" s="43">
        <v>45</v>
      </c>
      <c r="N29" s="43">
        <f t="shared" si="1"/>
        <v>38700</v>
      </c>
      <c r="P29" s="43">
        <v>280</v>
      </c>
      <c r="Q29" s="43">
        <f t="shared" si="2"/>
        <v>240800</v>
      </c>
    </row>
    <row r="30" spans="2:17">
      <c r="B30" s="5" t="s">
        <v>279</v>
      </c>
      <c r="C30" s="5" t="s">
        <v>280</v>
      </c>
      <c r="D30" s="5" t="s">
        <v>281</v>
      </c>
      <c r="E30" s="37"/>
      <c r="F30" s="37"/>
      <c r="G30" s="37"/>
      <c r="H30" s="37"/>
      <c r="J30" s="40">
        <v>7.5</v>
      </c>
      <c r="K30" s="43">
        <f t="shared" si="0"/>
        <v>6450</v>
      </c>
      <c r="M30" s="43">
        <v>47.5</v>
      </c>
      <c r="N30" s="43">
        <f t="shared" si="1"/>
        <v>40850</v>
      </c>
      <c r="P30" s="43">
        <v>300</v>
      </c>
      <c r="Q30" s="43">
        <f t="shared" si="2"/>
        <v>258000</v>
      </c>
    </row>
    <row r="31" spans="2:17">
      <c r="B31" s="5" t="s">
        <v>282</v>
      </c>
      <c r="C31" s="5" t="s">
        <v>283</v>
      </c>
      <c r="D31" s="5" t="s">
        <v>284</v>
      </c>
      <c r="E31" s="37"/>
      <c r="F31" s="37"/>
      <c r="G31" s="37"/>
      <c r="H31" s="37"/>
      <c r="J31" s="40">
        <v>8</v>
      </c>
      <c r="K31" s="43">
        <f t="shared" si="0"/>
        <v>6880</v>
      </c>
      <c r="M31" s="43">
        <v>50</v>
      </c>
      <c r="N31" s="43">
        <f t="shared" si="1"/>
        <v>43000</v>
      </c>
      <c r="P31" s="43">
        <v>315</v>
      </c>
      <c r="Q31" s="43">
        <f t="shared" si="2"/>
        <v>270900</v>
      </c>
    </row>
    <row r="32" spans="2:17">
      <c r="B32" s="5" t="s">
        <v>285</v>
      </c>
      <c r="C32" s="5" t="s">
        <v>286</v>
      </c>
      <c r="D32" s="5" t="s">
        <v>287</v>
      </c>
      <c r="E32" s="37"/>
      <c r="F32" s="37"/>
      <c r="G32" s="37"/>
      <c r="H32" s="37"/>
      <c r="J32" s="40">
        <v>8.5</v>
      </c>
      <c r="K32" s="43">
        <f t="shared" si="0"/>
        <v>7310</v>
      </c>
      <c r="M32" s="43">
        <v>53</v>
      </c>
      <c r="N32" s="43">
        <f t="shared" si="1"/>
        <v>45580</v>
      </c>
      <c r="P32" s="43">
        <v>335</v>
      </c>
      <c r="Q32" s="43">
        <f t="shared" si="2"/>
        <v>288100</v>
      </c>
    </row>
    <row r="33" spans="10:17">
      <c r="J33" s="40">
        <v>9</v>
      </c>
      <c r="K33" s="43">
        <f t="shared" si="0"/>
        <v>7740</v>
      </c>
      <c r="M33" s="43">
        <v>56</v>
      </c>
      <c r="N33" s="43">
        <f t="shared" si="1"/>
        <v>48160</v>
      </c>
      <c r="P33" s="43">
        <v>355</v>
      </c>
      <c r="Q33" s="43">
        <f t="shared" si="2"/>
        <v>305300</v>
      </c>
    </row>
    <row r="34" spans="10:17">
      <c r="J34" s="40">
        <v>9.5</v>
      </c>
      <c r="K34" s="43">
        <f t="shared" si="0"/>
        <v>8170</v>
      </c>
      <c r="M34" s="43">
        <v>60</v>
      </c>
      <c r="N34" s="43">
        <f t="shared" si="1"/>
        <v>51600</v>
      </c>
      <c r="P34" s="43">
        <v>375</v>
      </c>
      <c r="Q34" s="43">
        <f t="shared" si="2"/>
        <v>322500</v>
      </c>
    </row>
    <row r="35" spans="10:17">
      <c r="J35" s="40">
        <v>10</v>
      </c>
      <c r="K35" s="43">
        <f t="shared" si="0"/>
        <v>8600</v>
      </c>
      <c r="L35" s="45"/>
      <c r="M35" s="43">
        <v>63</v>
      </c>
      <c r="N35" s="43">
        <f t="shared" si="1"/>
        <v>54180</v>
      </c>
      <c r="O35" s="45"/>
      <c r="P35" s="43">
        <v>400</v>
      </c>
      <c r="Q35" s="43">
        <f t="shared" si="2"/>
        <v>344000</v>
      </c>
    </row>
  </sheetData>
  <mergeCells count="3">
    <mergeCell ref="B2:D2"/>
    <mergeCell ref="F2:H2"/>
    <mergeCell ref="J2:Q2"/>
  </mergeCells>
  <phoneticPr fontId="8"/>
  <pageMargins left="0.7" right="0.7" top="0.75" bottom="0.75" header="0.3" footer="0.3"/>
  <pageSetup paperSize="9" orientation="portrait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39" zoomScaleNormal="100" workbookViewId="0">
      <selection activeCell="J17" sqref="J17"/>
    </sheetView>
  </sheetViews>
  <sheetFormatPr defaultRowHeight="18.75"/>
  <sheetData/>
  <phoneticPr fontId="8"/>
  <pageMargins left="0.7" right="0.7" top="0.75" bottom="0.75" header="0.3" footer="0.3"/>
  <pageSetup paperSize="9" orientation="portrait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H106"/>
  <sheetViews>
    <sheetView workbookViewId="0">
      <selection activeCell="J17" sqref="J17"/>
    </sheetView>
  </sheetViews>
  <sheetFormatPr defaultColWidth="8.625" defaultRowHeight="18.75"/>
  <cols>
    <col min="1" max="1" width="4.125" style="15" customWidth="1"/>
    <col min="2" max="2" width="10" style="185" bestFit="1" customWidth="1"/>
    <col min="3" max="3" width="4.875" style="15" bestFit="1" customWidth="1"/>
    <col min="4" max="4" width="16.125" style="15" bestFit="1" customWidth="1"/>
    <col min="5" max="5" width="13.375" style="189" bestFit="1" customWidth="1"/>
    <col min="6" max="7" width="41.625" style="183" customWidth="1"/>
    <col min="8" max="8" width="41.625" style="15" customWidth="1"/>
    <col min="9" max="9" width="4.125" style="15" customWidth="1"/>
    <col min="10" max="16384" width="8.625" style="15"/>
  </cols>
  <sheetData>
    <row r="2" spans="2:8">
      <c r="B2" s="186" t="s">
        <v>931</v>
      </c>
      <c r="C2" s="38" t="s">
        <v>921</v>
      </c>
      <c r="D2" s="38" t="s">
        <v>922</v>
      </c>
      <c r="E2" s="61" t="s">
        <v>923</v>
      </c>
      <c r="F2" s="61" t="s">
        <v>926</v>
      </c>
      <c r="G2" s="61" t="s">
        <v>927</v>
      </c>
      <c r="H2" s="38" t="s">
        <v>928</v>
      </c>
    </row>
    <row r="3" spans="2:8" ht="37.5">
      <c r="B3" s="187">
        <v>45828</v>
      </c>
      <c r="C3" s="13" t="s">
        <v>924</v>
      </c>
      <c r="D3" s="13" t="s">
        <v>925</v>
      </c>
      <c r="E3" s="188" t="s">
        <v>1002</v>
      </c>
      <c r="F3" s="184" t="s">
        <v>999</v>
      </c>
      <c r="G3" s="184" t="s">
        <v>1000</v>
      </c>
      <c r="H3" s="13"/>
    </row>
    <row r="4" spans="2:8" ht="56.25">
      <c r="B4" s="187">
        <v>45828</v>
      </c>
      <c r="C4" s="13" t="s">
        <v>924</v>
      </c>
      <c r="D4" s="13" t="s">
        <v>956</v>
      </c>
      <c r="E4" s="188" t="s">
        <v>1001</v>
      </c>
      <c r="F4" s="184" t="s">
        <v>1003</v>
      </c>
      <c r="G4" s="184" t="s">
        <v>1004</v>
      </c>
      <c r="H4" s="13"/>
    </row>
    <row r="5" spans="2:8" ht="37.5">
      <c r="B5" s="187">
        <v>45828</v>
      </c>
      <c r="C5" s="13" t="s">
        <v>924</v>
      </c>
      <c r="D5" s="13" t="s">
        <v>932</v>
      </c>
      <c r="E5" s="188" t="s">
        <v>1005</v>
      </c>
      <c r="F5" s="184" t="s">
        <v>1006</v>
      </c>
      <c r="G5" s="184" t="s">
        <v>1007</v>
      </c>
      <c r="H5" s="13"/>
    </row>
    <row r="6" spans="2:8" ht="56.25">
      <c r="B6" s="187">
        <v>45817</v>
      </c>
      <c r="C6" s="13" t="s">
        <v>990</v>
      </c>
      <c r="D6" s="13" t="s">
        <v>991</v>
      </c>
      <c r="E6" s="188" t="s">
        <v>992</v>
      </c>
      <c r="F6" s="184" t="s">
        <v>993</v>
      </c>
      <c r="G6" s="184" t="s">
        <v>994</v>
      </c>
      <c r="H6" s="13"/>
    </row>
    <row r="7" spans="2:8" ht="37.5">
      <c r="B7" s="187">
        <v>45817</v>
      </c>
      <c r="C7" s="13" t="s">
        <v>935</v>
      </c>
      <c r="D7" s="13" t="s">
        <v>995</v>
      </c>
      <c r="E7" s="188" t="s">
        <v>996</v>
      </c>
      <c r="F7" s="184" t="s">
        <v>997</v>
      </c>
      <c r="G7" s="184" t="s">
        <v>998</v>
      </c>
      <c r="H7" s="13"/>
    </row>
    <row r="8" spans="2:8" ht="37.5">
      <c r="B8" s="187">
        <v>45806</v>
      </c>
      <c r="C8" s="13" t="s">
        <v>924</v>
      </c>
      <c r="D8" s="13" t="s">
        <v>974</v>
      </c>
      <c r="E8" s="188" t="s">
        <v>975</v>
      </c>
      <c r="F8" s="184" t="s">
        <v>976</v>
      </c>
      <c r="G8" s="184"/>
      <c r="H8" s="13"/>
    </row>
    <row r="9" spans="2:8" ht="37.5">
      <c r="B9" s="187">
        <v>45806</v>
      </c>
      <c r="C9" s="13" t="s">
        <v>924</v>
      </c>
      <c r="D9" s="13" t="s">
        <v>977</v>
      </c>
      <c r="E9" s="188" t="s">
        <v>978</v>
      </c>
      <c r="F9" s="184" t="s">
        <v>979</v>
      </c>
      <c r="G9" s="184" t="s">
        <v>980</v>
      </c>
      <c r="H9" s="13"/>
    </row>
    <row r="10" spans="2:8" ht="56.25">
      <c r="B10" s="187">
        <v>45806</v>
      </c>
      <c r="C10" s="13" t="s">
        <v>924</v>
      </c>
      <c r="D10" s="13" t="s">
        <v>981</v>
      </c>
      <c r="E10" s="188" t="s">
        <v>982</v>
      </c>
      <c r="F10" s="184" t="s">
        <v>984</v>
      </c>
      <c r="G10" s="184" t="s">
        <v>985</v>
      </c>
      <c r="H10" s="13"/>
    </row>
    <row r="11" spans="2:8" ht="56.25">
      <c r="B11" s="187">
        <v>45803</v>
      </c>
      <c r="C11" s="13" t="s">
        <v>935</v>
      </c>
      <c r="D11" s="13" t="s">
        <v>956</v>
      </c>
      <c r="E11" s="188" t="s">
        <v>957</v>
      </c>
      <c r="F11" s="184" t="s">
        <v>958</v>
      </c>
      <c r="G11" s="184" t="s">
        <v>959</v>
      </c>
      <c r="H11" s="184" t="s">
        <v>960</v>
      </c>
    </row>
    <row r="12" spans="2:8" ht="37.5">
      <c r="B12" s="187">
        <v>45803</v>
      </c>
      <c r="C12" s="13" t="s">
        <v>935</v>
      </c>
      <c r="D12" s="13" t="s">
        <v>962</v>
      </c>
      <c r="E12" s="188" t="s">
        <v>961</v>
      </c>
      <c r="F12" s="184" t="s">
        <v>963</v>
      </c>
      <c r="G12" s="184" t="s">
        <v>964</v>
      </c>
      <c r="H12" s="13"/>
    </row>
    <row r="13" spans="2:8" ht="37.5">
      <c r="B13" s="187">
        <v>45803</v>
      </c>
      <c r="C13" s="13" t="s">
        <v>935</v>
      </c>
      <c r="D13" s="13" t="s">
        <v>965</v>
      </c>
      <c r="E13" s="188" t="s">
        <v>966</v>
      </c>
      <c r="F13" s="184" t="s">
        <v>963</v>
      </c>
      <c r="G13" s="184" t="s">
        <v>964</v>
      </c>
      <c r="H13" s="13"/>
    </row>
    <row r="14" spans="2:8" ht="37.5">
      <c r="B14" s="187">
        <v>45800</v>
      </c>
      <c r="C14" s="13" t="s">
        <v>924</v>
      </c>
      <c r="D14" s="13" t="s">
        <v>925</v>
      </c>
      <c r="E14" s="188" t="s">
        <v>345</v>
      </c>
      <c r="F14" s="184" t="s">
        <v>929</v>
      </c>
      <c r="G14" s="184" t="s">
        <v>930</v>
      </c>
      <c r="H14" s="184"/>
    </row>
    <row r="15" spans="2:8" ht="56.25">
      <c r="B15" s="187">
        <v>45800</v>
      </c>
      <c r="C15" s="13" t="s">
        <v>924</v>
      </c>
      <c r="D15" s="13" t="s">
        <v>932</v>
      </c>
      <c r="E15" s="188" t="s">
        <v>933</v>
      </c>
      <c r="F15" s="184" t="s">
        <v>970</v>
      </c>
      <c r="G15" s="184" t="s">
        <v>973</v>
      </c>
      <c r="H15" s="184"/>
    </row>
    <row r="16" spans="2:8" ht="56.25">
      <c r="B16" s="187">
        <v>45800</v>
      </c>
      <c r="C16" s="13" t="s">
        <v>924</v>
      </c>
      <c r="D16" s="13" t="s">
        <v>932</v>
      </c>
      <c r="E16" s="188" t="s">
        <v>934</v>
      </c>
      <c r="F16" s="184" t="s">
        <v>971</v>
      </c>
      <c r="G16" s="184" t="s">
        <v>972</v>
      </c>
      <c r="H16" s="184"/>
    </row>
    <row r="17" spans="2:8" ht="75">
      <c r="B17" s="187">
        <v>45800</v>
      </c>
      <c r="C17" s="13" t="s">
        <v>924</v>
      </c>
      <c r="D17" s="13" t="s">
        <v>936</v>
      </c>
      <c r="E17" s="188" t="s">
        <v>940</v>
      </c>
      <c r="F17" s="184" t="s">
        <v>942</v>
      </c>
      <c r="G17" s="184" t="s">
        <v>943</v>
      </c>
      <c r="H17" s="184"/>
    </row>
    <row r="18" spans="2:8" ht="56.25">
      <c r="B18" s="187">
        <v>45796</v>
      </c>
      <c r="C18" s="13" t="s">
        <v>935</v>
      </c>
      <c r="D18" s="13" t="s">
        <v>936</v>
      </c>
      <c r="E18" s="188" t="s">
        <v>937</v>
      </c>
      <c r="F18" s="184" t="s">
        <v>938</v>
      </c>
      <c r="G18" s="184" t="s">
        <v>941</v>
      </c>
      <c r="H18" s="184"/>
    </row>
    <row r="19" spans="2:8" ht="37.5">
      <c r="B19" s="187">
        <v>45796</v>
      </c>
      <c r="C19" s="13" t="s">
        <v>924</v>
      </c>
      <c r="D19" s="13" t="s">
        <v>936</v>
      </c>
      <c r="E19" s="188" t="s">
        <v>939</v>
      </c>
      <c r="F19" s="184" t="s">
        <v>944</v>
      </c>
      <c r="G19" s="184" t="s">
        <v>945</v>
      </c>
      <c r="H19" s="184"/>
    </row>
    <row r="20" spans="2:8" ht="75">
      <c r="B20" s="187">
        <v>45796</v>
      </c>
      <c r="C20" s="13" t="s">
        <v>924</v>
      </c>
      <c r="D20" s="13" t="s">
        <v>936</v>
      </c>
      <c r="E20" s="188" t="s">
        <v>946</v>
      </c>
      <c r="F20" s="184" t="s">
        <v>947</v>
      </c>
      <c r="G20" s="184" t="s">
        <v>948</v>
      </c>
      <c r="H20" s="184"/>
    </row>
    <row r="21" spans="2:8" ht="93.75">
      <c r="B21" s="187">
        <v>45796</v>
      </c>
      <c r="C21" s="13" t="s">
        <v>935</v>
      </c>
      <c r="D21" s="13" t="s">
        <v>936</v>
      </c>
      <c r="E21" s="188" t="s">
        <v>949</v>
      </c>
      <c r="F21" s="184" t="s">
        <v>950</v>
      </c>
      <c r="G21" s="184" t="s">
        <v>952</v>
      </c>
      <c r="H21" s="184" t="s">
        <v>951</v>
      </c>
    </row>
    <row r="22" spans="2:8">
      <c r="B22" s="187"/>
      <c r="C22" s="13"/>
      <c r="D22" s="13"/>
      <c r="E22" s="188"/>
      <c r="F22" s="184"/>
      <c r="G22" s="184"/>
      <c r="H22" s="13"/>
    </row>
    <row r="23" spans="2:8">
      <c r="B23" s="187"/>
      <c r="C23" s="13"/>
      <c r="D23" s="13"/>
      <c r="E23" s="188"/>
      <c r="F23" s="184"/>
      <c r="G23" s="184"/>
      <c r="H23" s="13"/>
    </row>
    <row r="24" spans="2:8">
      <c r="B24" s="187"/>
      <c r="C24" s="13"/>
      <c r="D24" s="13"/>
      <c r="E24" s="188"/>
      <c r="F24" s="184"/>
      <c r="G24" s="184"/>
      <c r="H24" s="13"/>
    </row>
    <row r="25" spans="2:8">
      <c r="B25" s="187"/>
      <c r="C25" s="13"/>
      <c r="D25" s="13"/>
      <c r="E25" s="188"/>
      <c r="F25" s="184"/>
      <c r="G25" s="184"/>
      <c r="H25" s="13"/>
    </row>
    <row r="26" spans="2:8">
      <c r="B26" s="187"/>
      <c r="C26" s="13"/>
      <c r="D26" s="13"/>
      <c r="E26" s="188"/>
      <c r="F26" s="184"/>
      <c r="G26" s="184"/>
      <c r="H26" s="13"/>
    </row>
    <row r="27" spans="2:8">
      <c r="B27" s="187"/>
      <c r="C27" s="13"/>
      <c r="D27" s="13"/>
      <c r="E27" s="188"/>
      <c r="F27" s="184"/>
      <c r="G27" s="184"/>
      <c r="H27" s="13"/>
    </row>
    <row r="28" spans="2:8">
      <c r="B28" s="187"/>
      <c r="C28" s="13"/>
      <c r="D28" s="13"/>
      <c r="E28" s="188"/>
      <c r="F28" s="184"/>
      <c r="G28" s="184"/>
      <c r="H28" s="13"/>
    </row>
    <row r="29" spans="2:8">
      <c r="B29" s="187"/>
      <c r="C29" s="13"/>
      <c r="D29" s="13"/>
      <c r="E29" s="188"/>
      <c r="F29" s="184"/>
      <c r="G29" s="184"/>
      <c r="H29" s="13"/>
    </row>
    <row r="30" spans="2:8">
      <c r="B30" s="187"/>
      <c r="C30" s="13"/>
      <c r="D30" s="13"/>
      <c r="E30" s="188"/>
      <c r="F30" s="184"/>
      <c r="G30" s="184"/>
      <c r="H30" s="13"/>
    </row>
    <row r="31" spans="2:8">
      <c r="B31" s="187"/>
      <c r="C31" s="13"/>
      <c r="D31" s="13"/>
      <c r="E31" s="188"/>
      <c r="F31" s="184"/>
      <c r="G31" s="184"/>
      <c r="H31" s="13"/>
    </row>
    <row r="32" spans="2:8">
      <c r="B32" s="187"/>
      <c r="C32" s="13"/>
      <c r="D32" s="13"/>
      <c r="E32" s="188"/>
      <c r="F32" s="184"/>
      <c r="G32" s="184"/>
      <c r="H32" s="13"/>
    </row>
    <row r="33" spans="2:8">
      <c r="B33" s="187"/>
      <c r="C33" s="13"/>
      <c r="D33" s="13"/>
      <c r="E33" s="188"/>
      <c r="F33" s="184"/>
      <c r="G33" s="184"/>
      <c r="H33" s="13"/>
    </row>
    <row r="34" spans="2:8">
      <c r="B34" s="187"/>
      <c r="C34" s="13"/>
      <c r="D34" s="13"/>
      <c r="E34" s="188"/>
      <c r="F34" s="184"/>
      <c r="G34" s="184"/>
      <c r="H34" s="13"/>
    </row>
    <row r="35" spans="2:8">
      <c r="B35" s="187"/>
      <c r="C35" s="13"/>
      <c r="D35" s="13"/>
      <c r="E35" s="188"/>
      <c r="F35" s="184"/>
      <c r="G35" s="184"/>
      <c r="H35" s="13"/>
    </row>
    <row r="36" spans="2:8">
      <c r="B36" s="187"/>
      <c r="C36" s="13"/>
      <c r="D36" s="13"/>
      <c r="E36" s="188"/>
      <c r="F36" s="184"/>
      <c r="G36" s="184"/>
      <c r="H36" s="13"/>
    </row>
    <row r="37" spans="2:8">
      <c r="B37" s="187"/>
      <c r="C37" s="13"/>
      <c r="D37" s="13"/>
      <c r="E37" s="188"/>
      <c r="F37" s="184"/>
      <c r="G37" s="184"/>
      <c r="H37" s="13"/>
    </row>
    <row r="38" spans="2:8">
      <c r="B38" s="187"/>
      <c r="C38" s="13"/>
      <c r="D38" s="13"/>
      <c r="E38" s="188"/>
      <c r="F38" s="184"/>
      <c r="G38" s="184"/>
      <c r="H38" s="13"/>
    </row>
    <row r="39" spans="2:8">
      <c r="B39" s="187"/>
      <c r="C39" s="13"/>
      <c r="D39" s="13"/>
      <c r="E39" s="188"/>
      <c r="F39" s="184"/>
      <c r="G39" s="184"/>
      <c r="H39" s="13"/>
    </row>
    <row r="40" spans="2:8">
      <c r="B40" s="187"/>
      <c r="C40" s="13"/>
      <c r="D40" s="13"/>
      <c r="E40" s="188"/>
      <c r="F40" s="184"/>
      <c r="G40" s="184"/>
      <c r="H40" s="13"/>
    </row>
    <row r="41" spans="2:8">
      <c r="B41" s="187"/>
      <c r="C41" s="13"/>
      <c r="D41" s="13"/>
      <c r="E41" s="188"/>
      <c r="F41" s="184"/>
      <c r="G41" s="184"/>
      <c r="H41" s="13"/>
    </row>
    <row r="42" spans="2:8">
      <c r="B42" s="187"/>
      <c r="C42" s="13"/>
      <c r="D42" s="13"/>
      <c r="E42" s="188"/>
      <c r="F42" s="184"/>
      <c r="G42" s="184"/>
      <c r="H42" s="13"/>
    </row>
    <row r="43" spans="2:8">
      <c r="B43" s="187"/>
      <c r="C43" s="13"/>
      <c r="D43" s="13"/>
      <c r="E43" s="188"/>
      <c r="F43" s="184"/>
      <c r="G43" s="184"/>
      <c r="H43" s="13"/>
    </row>
    <row r="44" spans="2:8">
      <c r="B44" s="187"/>
      <c r="C44" s="13"/>
      <c r="D44" s="13"/>
      <c r="E44" s="188"/>
      <c r="F44" s="184"/>
      <c r="G44" s="184"/>
      <c r="H44" s="13"/>
    </row>
    <row r="45" spans="2:8">
      <c r="B45" s="187"/>
      <c r="C45" s="13"/>
      <c r="D45" s="13"/>
      <c r="E45" s="188"/>
      <c r="F45" s="184"/>
      <c r="G45" s="184"/>
      <c r="H45" s="13"/>
    </row>
    <row r="46" spans="2:8">
      <c r="B46" s="187"/>
      <c r="C46" s="13"/>
      <c r="D46" s="13"/>
      <c r="E46" s="188"/>
      <c r="F46" s="184"/>
      <c r="G46" s="184"/>
      <c r="H46" s="13"/>
    </row>
    <row r="47" spans="2:8">
      <c r="B47" s="187"/>
      <c r="C47" s="13"/>
      <c r="D47" s="13"/>
      <c r="E47" s="188"/>
      <c r="F47" s="184"/>
      <c r="G47" s="184"/>
      <c r="H47" s="13"/>
    </row>
    <row r="48" spans="2:8">
      <c r="B48" s="187"/>
      <c r="C48" s="13"/>
      <c r="D48" s="13"/>
      <c r="E48" s="188"/>
      <c r="F48" s="184"/>
      <c r="G48" s="184"/>
      <c r="H48" s="13"/>
    </row>
    <row r="49" spans="2:8">
      <c r="B49" s="187"/>
      <c r="C49" s="13"/>
      <c r="D49" s="13"/>
      <c r="E49" s="188"/>
      <c r="F49" s="184"/>
      <c r="G49" s="184"/>
      <c r="H49" s="13"/>
    </row>
    <row r="50" spans="2:8">
      <c r="B50" s="187"/>
      <c r="C50" s="13"/>
      <c r="D50" s="13"/>
      <c r="E50" s="188"/>
      <c r="F50" s="184"/>
      <c r="G50" s="184"/>
      <c r="H50" s="13"/>
    </row>
    <row r="51" spans="2:8">
      <c r="B51" s="187"/>
      <c r="C51" s="13"/>
      <c r="D51" s="13"/>
      <c r="E51" s="188"/>
      <c r="F51" s="184"/>
      <c r="G51" s="184"/>
      <c r="H51" s="13"/>
    </row>
    <row r="52" spans="2:8">
      <c r="B52" s="187"/>
      <c r="C52" s="13"/>
      <c r="D52" s="13"/>
      <c r="E52" s="188"/>
      <c r="F52" s="184"/>
      <c r="G52" s="184"/>
      <c r="H52" s="13"/>
    </row>
    <row r="53" spans="2:8">
      <c r="B53" s="187"/>
      <c r="C53" s="13"/>
      <c r="D53" s="13"/>
      <c r="E53" s="188"/>
      <c r="F53" s="184"/>
      <c r="G53" s="184"/>
      <c r="H53" s="13"/>
    </row>
    <row r="54" spans="2:8">
      <c r="B54" s="187"/>
      <c r="C54" s="13"/>
      <c r="D54" s="13"/>
      <c r="E54" s="188"/>
      <c r="F54" s="184"/>
      <c r="G54" s="184"/>
      <c r="H54" s="13"/>
    </row>
    <row r="55" spans="2:8">
      <c r="B55" s="187"/>
      <c r="C55" s="13"/>
      <c r="D55" s="13"/>
      <c r="E55" s="188"/>
      <c r="F55" s="184"/>
      <c r="G55" s="184"/>
      <c r="H55" s="13"/>
    </row>
    <row r="56" spans="2:8">
      <c r="B56" s="187"/>
      <c r="C56" s="13"/>
      <c r="D56" s="13"/>
      <c r="E56" s="188"/>
      <c r="F56" s="184"/>
      <c r="G56" s="184"/>
      <c r="H56" s="13"/>
    </row>
    <row r="57" spans="2:8">
      <c r="B57" s="187"/>
      <c r="C57" s="13"/>
      <c r="D57" s="13"/>
      <c r="E57" s="188"/>
      <c r="F57" s="184"/>
      <c r="G57" s="184"/>
      <c r="H57" s="13"/>
    </row>
    <row r="58" spans="2:8">
      <c r="B58" s="187"/>
      <c r="C58" s="13"/>
      <c r="D58" s="13"/>
      <c r="E58" s="188"/>
      <c r="F58" s="184"/>
      <c r="G58" s="184"/>
      <c r="H58" s="13"/>
    </row>
    <row r="59" spans="2:8">
      <c r="B59" s="187"/>
      <c r="C59" s="13"/>
      <c r="D59" s="13"/>
      <c r="E59" s="188"/>
      <c r="F59" s="184"/>
      <c r="G59" s="184"/>
      <c r="H59" s="13"/>
    </row>
    <row r="60" spans="2:8">
      <c r="B60" s="187"/>
      <c r="C60" s="13"/>
      <c r="D60" s="13"/>
      <c r="E60" s="188"/>
      <c r="F60" s="184"/>
      <c r="G60" s="184"/>
      <c r="H60" s="13"/>
    </row>
    <row r="61" spans="2:8">
      <c r="B61" s="187"/>
      <c r="C61" s="13"/>
      <c r="D61" s="13"/>
      <c r="E61" s="188"/>
      <c r="F61" s="184"/>
      <c r="G61" s="184"/>
      <c r="H61" s="13"/>
    </row>
    <row r="62" spans="2:8">
      <c r="B62" s="187"/>
      <c r="C62" s="13"/>
      <c r="D62" s="13"/>
      <c r="E62" s="188"/>
      <c r="F62" s="184"/>
      <c r="G62" s="184"/>
      <c r="H62" s="13"/>
    </row>
    <row r="63" spans="2:8">
      <c r="B63" s="187"/>
      <c r="C63" s="13"/>
      <c r="D63" s="13"/>
      <c r="E63" s="188"/>
      <c r="F63" s="184"/>
      <c r="G63" s="184"/>
      <c r="H63" s="13"/>
    </row>
    <row r="64" spans="2:8">
      <c r="B64" s="187"/>
      <c r="C64" s="13"/>
      <c r="D64" s="13"/>
      <c r="E64" s="188"/>
      <c r="F64" s="184"/>
      <c r="G64" s="184"/>
      <c r="H64" s="13"/>
    </row>
    <row r="65" spans="2:8">
      <c r="B65" s="187"/>
      <c r="C65" s="13"/>
      <c r="D65" s="13"/>
      <c r="E65" s="188"/>
      <c r="F65" s="184"/>
      <c r="G65" s="184"/>
      <c r="H65" s="13"/>
    </row>
    <row r="66" spans="2:8">
      <c r="B66" s="187"/>
      <c r="C66" s="13"/>
      <c r="D66" s="13"/>
      <c r="E66" s="188"/>
      <c r="F66" s="184"/>
      <c r="G66" s="184"/>
      <c r="H66" s="13"/>
    </row>
    <row r="67" spans="2:8">
      <c r="B67" s="187"/>
      <c r="C67" s="13"/>
      <c r="D67" s="13"/>
      <c r="E67" s="188"/>
      <c r="F67" s="184"/>
      <c r="G67" s="184"/>
      <c r="H67" s="13"/>
    </row>
    <row r="68" spans="2:8">
      <c r="B68" s="187"/>
      <c r="C68" s="13"/>
      <c r="D68" s="13"/>
      <c r="E68" s="188"/>
      <c r="F68" s="184"/>
      <c r="G68" s="184"/>
      <c r="H68" s="13"/>
    </row>
    <row r="69" spans="2:8">
      <c r="B69" s="187"/>
      <c r="C69" s="13"/>
      <c r="D69" s="13"/>
      <c r="E69" s="188"/>
      <c r="F69" s="184"/>
      <c r="G69" s="184"/>
      <c r="H69" s="13"/>
    </row>
    <row r="70" spans="2:8">
      <c r="B70" s="187"/>
      <c r="C70" s="13"/>
      <c r="D70" s="13"/>
      <c r="E70" s="188"/>
      <c r="F70" s="184"/>
      <c r="G70" s="184"/>
      <c r="H70" s="13"/>
    </row>
    <row r="71" spans="2:8">
      <c r="B71" s="187"/>
      <c r="C71" s="13"/>
      <c r="D71" s="13"/>
      <c r="E71" s="188"/>
      <c r="F71" s="184"/>
      <c r="G71" s="184"/>
      <c r="H71" s="13"/>
    </row>
    <row r="72" spans="2:8">
      <c r="B72" s="187"/>
      <c r="C72" s="13"/>
      <c r="D72" s="13"/>
      <c r="E72" s="188"/>
      <c r="F72" s="184"/>
      <c r="G72" s="184"/>
      <c r="H72" s="13"/>
    </row>
    <row r="73" spans="2:8">
      <c r="B73" s="187"/>
      <c r="C73" s="13"/>
      <c r="D73" s="13"/>
      <c r="E73" s="188"/>
      <c r="F73" s="184"/>
      <c r="G73" s="184"/>
      <c r="H73" s="13"/>
    </row>
    <row r="74" spans="2:8">
      <c r="B74" s="187"/>
      <c r="C74" s="13"/>
      <c r="D74" s="13"/>
      <c r="E74" s="188"/>
      <c r="F74" s="184"/>
      <c r="G74" s="184"/>
      <c r="H74" s="13"/>
    </row>
    <row r="75" spans="2:8">
      <c r="B75" s="187"/>
      <c r="C75" s="13"/>
      <c r="D75" s="13"/>
      <c r="E75" s="188"/>
      <c r="F75" s="184"/>
      <c r="G75" s="184"/>
      <c r="H75" s="13"/>
    </row>
    <row r="76" spans="2:8">
      <c r="B76" s="187"/>
      <c r="C76" s="13"/>
      <c r="D76" s="13"/>
      <c r="E76" s="188"/>
      <c r="F76" s="184"/>
      <c r="G76" s="184"/>
      <c r="H76" s="13"/>
    </row>
    <row r="77" spans="2:8">
      <c r="B77" s="187"/>
      <c r="C77" s="13"/>
      <c r="D77" s="13"/>
      <c r="E77" s="188"/>
      <c r="F77" s="184"/>
      <c r="G77" s="184"/>
      <c r="H77" s="13"/>
    </row>
    <row r="78" spans="2:8">
      <c r="B78" s="187"/>
      <c r="C78" s="13"/>
      <c r="D78" s="13"/>
      <c r="E78" s="188"/>
      <c r="F78" s="184"/>
      <c r="G78" s="184"/>
      <c r="H78" s="13"/>
    </row>
    <row r="79" spans="2:8">
      <c r="B79" s="187"/>
      <c r="C79" s="13"/>
      <c r="D79" s="13"/>
      <c r="E79" s="188"/>
      <c r="F79" s="184"/>
      <c r="G79" s="184"/>
      <c r="H79" s="13"/>
    </row>
    <row r="80" spans="2:8">
      <c r="B80" s="187"/>
      <c r="C80" s="13"/>
      <c r="D80" s="13"/>
      <c r="E80" s="188"/>
      <c r="F80" s="184"/>
      <c r="G80" s="184"/>
      <c r="H80" s="13"/>
    </row>
    <row r="81" spans="2:8">
      <c r="B81" s="187"/>
      <c r="C81" s="13"/>
      <c r="D81" s="13"/>
      <c r="E81" s="188"/>
      <c r="F81" s="184"/>
      <c r="G81" s="184"/>
      <c r="H81" s="13"/>
    </row>
    <row r="82" spans="2:8">
      <c r="B82" s="187"/>
      <c r="C82" s="13"/>
      <c r="D82" s="13"/>
      <c r="E82" s="188"/>
      <c r="F82" s="184"/>
      <c r="G82" s="184"/>
      <c r="H82" s="13"/>
    </row>
    <row r="83" spans="2:8">
      <c r="B83" s="187"/>
      <c r="C83" s="13"/>
      <c r="D83" s="13"/>
      <c r="E83" s="188"/>
      <c r="F83" s="184"/>
      <c r="G83" s="184"/>
      <c r="H83" s="13"/>
    </row>
    <row r="84" spans="2:8">
      <c r="B84" s="187"/>
      <c r="C84" s="13"/>
      <c r="D84" s="13"/>
      <c r="E84" s="188"/>
      <c r="F84" s="184"/>
      <c r="G84" s="184"/>
      <c r="H84" s="13"/>
    </row>
    <row r="85" spans="2:8">
      <c r="B85" s="187"/>
      <c r="C85" s="13"/>
      <c r="D85" s="13"/>
      <c r="E85" s="188"/>
      <c r="F85" s="184"/>
      <c r="G85" s="184"/>
      <c r="H85" s="13"/>
    </row>
    <row r="86" spans="2:8">
      <c r="B86" s="187"/>
      <c r="C86" s="13"/>
      <c r="D86" s="13"/>
      <c r="E86" s="188"/>
      <c r="F86" s="184"/>
      <c r="G86" s="184"/>
      <c r="H86" s="13"/>
    </row>
    <row r="87" spans="2:8">
      <c r="B87" s="187"/>
      <c r="C87" s="13"/>
      <c r="D87" s="13"/>
      <c r="E87" s="188"/>
      <c r="F87" s="184"/>
      <c r="G87" s="184"/>
      <c r="H87" s="13"/>
    </row>
    <row r="88" spans="2:8">
      <c r="B88" s="187"/>
      <c r="C88" s="13"/>
      <c r="D88" s="13"/>
      <c r="E88" s="188"/>
      <c r="F88" s="184"/>
      <c r="G88" s="184"/>
      <c r="H88" s="13"/>
    </row>
    <row r="89" spans="2:8">
      <c r="B89" s="187"/>
      <c r="C89" s="13"/>
      <c r="D89" s="13"/>
      <c r="E89" s="188"/>
      <c r="F89" s="184"/>
      <c r="G89" s="184"/>
      <c r="H89" s="13"/>
    </row>
    <row r="90" spans="2:8">
      <c r="B90" s="187"/>
      <c r="C90" s="13"/>
      <c r="D90" s="13"/>
      <c r="E90" s="188"/>
      <c r="F90" s="184"/>
      <c r="G90" s="184"/>
      <c r="H90" s="13"/>
    </row>
    <row r="91" spans="2:8">
      <c r="B91" s="187"/>
      <c r="C91" s="13"/>
      <c r="D91" s="13"/>
      <c r="E91" s="188"/>
      <c r="F91" s="184"/>
      <c r="G91" s="184"/>
      <c r="H91" s="13"/>
    </row>
    <row r="92" spans="2:8">
      <c r="B92" s="187"/>
      <c r="C92" s="13"/>
      <c r="D92" s="13"/>
      <c r="E92" s="188"/>
      <c r="F92" s="184"/>
      <c r="G92" s="184"/>
      <c r="H92" s="13"/>
    </row>
    <row r="93" spans="2:8">
      <c r="B93" s="187"/>
      <c r="C93" s="13"/>
      <c r="D93" s="13"/>
      <c r="E93" s="188"/>
      <c r="F93" s="184"/>
      <c r="G93" s="184"/>
      <c r="H93" s="13"/>
    </row>
    <row r="94" spans="2:8">
      <c r="B94" s="187"/>
      <c r="C94" s="13"/>
      <c r="D94" s="13"/>
      <c r="E94" s="188"/>
      <c r="F94" s="184"/>
      <c r="G94" s="184"/>
      <c r="H94" s="13"/>
    </row>
    <row r="95" spans="2:8">
      <c r="B95" s="187"/>
      <c r="C95" s="13"/>
      <c r="D95" s="13"/>
      <c r="E95" s="188"/>
      <c r="F95" s="184"/>
      <c r="G95" s="184"/>
      <c r="H95" s="13"/>
    </row>
    <row r="96" spans="2:8">
      <c r="B96" s="187"/>
      <c r="C96" s="13"/>
      <c r="D96" s="13"/>
      <c r="E96" s="188"/>
      <c r="F96" s="184"/>
      <c r="G96" s="184"/>
      <c r="H96" s="13"/>
    </row>
    <row r="97" spans="2:8">
      <c r="B97" s="187"/>
      <c r="C97" s="13"/>
      <c r="D97" s="13"/>
      <c r="E97" s="188"/>
      <c r="F97" s="184"/>
      <c r="G97" s="184"/>
      <c r="H97" s="13"/>
    </row>
    <row r="98" spans="2:8">
      <c r="B98" s="187"/>
      <c r="C98" s="13"/>
      <c r="D98" s="13"/>
      <c r="E98" s="188"/>
      <c r="F98" s="184"/>
      <c r="G98" s="184"/>
      <c r="H98" s="13"/>
    </row>
    <row r="99" spans="2:8">
      <c r="B99" s="187"/>
      <c r="C99" s="13"/>
      <c r="D99" s="13"/>
      <c r="E99" s="188"/>
      <c r="F99" s="184"/>
      <c r="G99" s="184"/>
      <c r="H99" s="13"/>
    </row>
    <row r="100" spans="2:8">
      <c r="B100" s="187"/>
      <c r="C100" s="13"/>
      <c r="D100" s="13"/>
      <c r="E100" s="188"/>
      <c r="F100" s="184"/>
      <c r="G100" s="184"/>
      <c r="H100" s="13"/>
    </row>
    <row r="101" spans="2:8">
      <c r="B101" s="187"/>
      <c r="C101" s="13"/>
      <c r="D101" s="13"/>
      <c r="E101" s="188"/>
      <c r="F101" s="184"/>
      <c r="G101" s="184"/>
      <c r="H101" s="13"/>
    </row>
    <row r="102" spans="2:8">
      <c r="B102" s="187"/>
      <c r="C102" s="13"/>
      <c r="D102" s="13"/>
      <c r="E102" s="188"/>
      <c r="F102" s="184"/>
      <c r="G102" s="184"/>
      <c r="H102" s="13"/>
    </row>
    <row r="103" spans="2:8">
      <c r="B103" s="187"/>
      <c r="C103" s="13"/>
      <c r="D103" s="13"/>
      <c r="E103" s="188"/>
      <c r="F103" s="184"/>
      <c r="G103" s="184"/>
      <c r="H103" s="13"/>
    </row>
    <row r="104" spans="2:8">
      <c r="B104" s="187"/>
      <c r="C104" s="13"/>
      <c r="D104" s="13"/>
      <c r="E104" s="188"/>
      <c r="F104" s="184"/>
      <c r="G104" s="184"/>
      <c r="H104" s="13"/>
    </row>
    <row r="105" spans="2:8">
      <c r="B105" s="187"/>
      <c r="C105" s="13"/>
      <c r="D105" s="13"/>
      <c r="E105" s="188"/>
      <c r="F105" s="184"/>
      <c r="G105" s="184"/>
      <c r="H105" s="13"/>
    </row>
    <row r="106" spans="2:8">
      <c r="B106" s="187"/>
      <c r="C106" s="13"/>
      <c r="D106" s="13"/>
      <c r="E106" s="188"/>
      <c r="F106" s="184"/>
      <c r="G106" s="184"/>
      <c r="H106" s="13"/>
    </row>
  </sheetData>
  <autoFilter ref="B2:H16" xr:uid="{00000000-0009-0000-0000-00000D000000}">
    <sortState xmlns:xlrd2="http://schemas.microsoft.com/office/spreadsheetml/2017/richdata2" ref="B3:H18">
      <sortCondition descending="1" ref="B2:B13"/>
    </sortState>
  </autoFilter>
  <phoneticPr fontId="8"/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549"/>
  <sheetViews>
    <sheetView zoomScale="70" zoomScaleNormal="70" zoomScaleSheetLayoutView="85" workbookViewId="0">
      <selection activeCell="F28" sqref="F28"/>
    </sheetView>
  </sheetViews>
  <sheetFormatPr defaultRowHeight="18.75"/>
  <cols>
    <col min="1" max="1" width="3.625" customWidth="1"/>
    <col min="2" max="2" width="7.875" bestFit="1" customWidth="1"/>
    <col min="3" max="3" width="18.625" customWidth="1"/>
    <col min="4" max="13" width="10.125" customWidth="1"/>
    <col min="14" max="14" width="18.625" customWidth="1"/>
    <col min="15" max="15" width="10.125" customWidth="1"/>
    <col min="16" max="18" width="10.125" style="56" customWidth="1"/>
    <col min="19" max="27" width="10.125" customWidth="1"/>
    <col min="28" max="30" width="8.625" customWidth="1"/>
  </cols>
  <sheetData>
    <row r="1" spans="1:26" ht="30">
      <c r="A1" s="11" t="s">
        <v>1098</v>
      </c>
      <c r="J1" s="110"/>
      <c r="L1" s="74"/>
      <c r="M1" s="74"/>
      <c r="N1" s="74"/>
      <c r="O1" s="74"/>
      <c r="P1" s="210"/>
      <c r="Q1" s="210"/>
      <c r="R1"/>
    </row>
    <row r="2" spans="1:26" ht="30">
      <c r="A2" s="11" t="s">
        <v>917</v>
      </c>
      <c r="R2"/>
    </row>
    <row r="3" spans="1:26" ht="22.7" customHeight="1">
      <c r="B3" s="126" t="s">
        <v>837</v>
      </c>
      <c r="H3" s="211"/>
      <c r="K3" s="662" t="str">
        <f>IF(OR(K7="",K7="なし"),"特記事項","特記事項（記載必須）")</f>
        <v>特記事項</v>
      </c>
      <c r="L3" s="662"/>
      <c r="M3" s="662"/>
      <c r="N3" s="662"/>
      <c r="O3" s="662"/>
      <c r="P3" s="662"/>
      <c r="Q3" s="662"/>
      <c r="R3" s="662"/>
      <c r="S3" s="662"/>
      <c r="T3" s="662"/>
      <c r="U3" s="212"/>
      <c r="V3" s="212"/>
      <c r="W3" s="212"/>
      <c r="X3" s="212"/>
      <c r="Y3" s="212"/>
      <c r="Z3" s="213"/>
    </row>
    <row r="4" spans="1:26" ht="22.5" customHeight="1">
      <c r="B4" s="667" t="s">
        <v>17</v>
      </c>
      <c r="C4" s="668"/>
      <c r="D4" s="38" t="s">
        <v>18</v>
      </c>
      <c r="E4" s="38" t="s">
        <v>19</v>
      </c>
      <c r="F4" s="111" t="s">
        <v>20</v>
      </c>
      <c r="G4" s="38" t="s">
        <v>21</v>
      </c>
      <c r="H4" s="214"/>
      <c r="K4" s="663" t="s">
        <v>904</v>
      </c>
      <c r="L4" s="663"/>
      <c r="M4" s="663"/>
      <c r="N4" s="663"/>
      <c r="O4" s="663"/>
      <c r="P4" s="663"/>
      <c r="Q4" s="663"/>
      <c r="R4" s="663"/>
      <c r="S4" s="663"/>
      <c r="T4" s="663"/>
      <c r="U4" s="215"/>
      <c r="V4" s="215"/>
      <c r="W4" s="215"/>
      <c r="X4" s="215"/>
      <c r="Y4" s="215"/>
      <c r="Z4" s="215"/>
    </row>
    <row r="5" spans="1:26" ht="22.5" customHeight="1">
      <c r="B5" s="669" t="s">
        <v>23</v>
      </c>
      <c r="C5" s="670"/>
      <c r="D5" s="38" t="s">
        <v>16</v>
      </c>
      <c r="E5" s="472">
        <f>$K$20</f>
        <v>0</v>
      </c>
      <c r="F5" s="473">
        <f>$T$20</f>
        <v>0</v>
      </c>
      <c r="G5" s="474">
        <f>W20</f>
        <v>0</v>
      </c>
      <c r="H5" s="214"/>
      <c r="K5" s="216"/>
      <c r="L5" s="216"/>
      <c r="M5" s="216"/>
      <c r="N5" s="213"/>
      <c r="O5" s="217"/>
      <c r="P5" s="217"/>
      <c r="Q5" s="216"/>
      <c r="R5" s="216"/>
      <c r="S5" s="216"/>
      <c r="T5" s="216"/>
      <c r="U5" s="216"/>
      <c r="V5" s="216"/>
      <c r="W5" s="216"/>
      <c r="X5" s="216"/>
      <c r="Y5" s="216"/>
    </row>
    <row r="6" spans="1:26" ht="22.5" customHeight="1">
      <c r="B6" s="669" t="s">
        <v>1</v>
      </c>
      <c r="C6" s="670"/>
      <c r="D6" s="61" t="s">
        <v>5</v>
      </c>
      <c r="E6" s="36">
        <f>$L$20</f>
        <v>0</v>
      </c>
      <c r="F6" s="218">
        <f>$U$20</f>
        <v>0</v>
      </c>
      <c r="G6" s="312">
        <f>ROUND(X20,1)</f>
        <v>0</v>
      </c>
      <c r="H6" s="214"/>
      <c r="K6" s="664" t="s">
        <v>841</v>
      </c>
      <c r="L6" s="664"/>
      <c r="M6" s="664"/>
      <c r="N6" s="664"/>
      <c r="O6" s="664"/>
      <c r="P6" s="664"/>
      <c r="Q6" s="664"/>
      <c r="R6" s="664"/>
      <c r="S6" s="664"/>
      <c r="T6" s="664"/>
      <c r="U6" s="219"/>
      <c r="V6" s="219"/>
      <c r="W6" s="219"/>
      <c r="X6" s="219"/>
      <c r="Y6" s="219"/>
      <c r="Z6" s="213"/>
    </row>
    <row r="7" spans="1:26" ht="22.5" customHeight="1">
      <c r="B7" s="671" t="s">
        <v>969</v>
      </c>
      <c r="C7" s="672"/>
      <c r="D7" s="38" t="s">
        <v>707</v>
      </c>
      <c r="E7" s="36">
        <f>M21</f>
        <v>0</v>
      </c>
      <c r="F7" s="218">
        <f>V20</f>
        <v>0</v>
      </c>
      <c r="G7" s="220">
        <f>ROUND(Y20,1)</f>
        <v>0</v>
      </c>
      <c r="H7" s="211"/>
      <c r="K7" s="665" t="str">
        <f>IF(OR(D20=0,O20=0),"",IF(D20=O20,"増減なし",IF(D20&gt;O20,"減少","増加")))</f>
        <v/>
      </c>
      <c r="L7" s="665"/>
      <c r="M7" s="665" t="str">
        <f>IF(OR(K7="",K7="増減なし"),"ー",IF(K7="減少","減少する理由を特記事項欄に明記してください。","やむを得ず増加する場合は特記事項欄に理由を明記してください。"))</f>
        <v>ー</v>
      </c>
      <c r="N7" s="665"/>
      <c r="O7" s="665"/>
      <c r="P7" s="665"/>
      <c r="Q7" s="665"/>
      <c r="R7" s="665"/>
      <c r="S7" s="665"/>
      <c r="T7" s="665"/>
      <c r="U7" s="212"/>
      <c r="V7" s="212"/>
      <c r="W7" s="212"/>
      <c r="X7" s="212"/>
      <c r="Y7" s="212"/>
      <c r="Z7" s="213"/>
    </row>
    <row r="8" spans="1:26" ht="20.100000000000001" customHeight="1">
      <c r="B8" s="221" t="s">
        <v>916</v>
      </c>
      <c r="K8" s="216"/>
      <c r="L8" s="216"/>
      <c r="M8" s="216"/>
      <c r="N8" s="213"/>
      <c r="O8" s="217"/>
      <c r="P8" s="217"/>
      <c r="Q8" s="216"/>
      <c r="R8" s="216"/>
      <c r="S8" s="216"/>
      <c r="T8" s="216"/>
      <c r="U8" s="216"/>
      <c r="V8" s="216"/>
      <c r="W8" s="216"/>
      <c r="X8" s="216"/>
      <c r="Y8" s="216"/>
    </row>
    <row r="9" spans="1:26" ht="20.100000000000001" customHeight="1" thickBot="1">
      <c r="B9" s="221"/>
      <c r="K9" s="216"/>
      <c r="L9" s="216"/>
      <c r="M9" s="216"/>
      <c r="N9" s="213"/>
      <c r="O9" s="217"/>
      <c r="P9" s="217"/>
      <c r="Q9" s="216"/>
      <c r="R9" s="216"/>
      <c r="S9" s="216"/>
      <c r="T9" s="216"/>
      <c r="U9" s="216"/>
      <c r="V9" s="216"/>
      <c r="W9" s="216"/>
      <c r="X9" s="216"/>
      <c r="Y9" s="216"/>
    </row>
    <row r="10" spans="1:26" ht="20.100000000000001" customHeight="1">
      <c r="B10" s="221"/>
      <c r="K10" s="222" t="s">
        <v>823</v>
      </c>
      <c r="L10" s="223"/>
      <c r="M10" s="223"/>
      <c r="N10" s="223"/>
      <c r="O10" s="223"/>
      <c r="P10" s="223"/>
      <c r="Q10" s="224"/>
      <c r="R10" s="744" t="s">
        <v>821</v>
      </c>
      <c r="S10" s="745"/>
      <c r="T10" s="745"/>
      <c r="U10" s="745"/>
      <c r="V10" s="745"/>
      <c r="W10" s="745"/>
      <c r="X10" s="745"/>
      <c r="Y10" s="746"/>
      <c r="Z10" s="225"/>
    </row>
    <row r="11" spans="1:26" ht="20.100000000000001" customHeight="1">
      <c r="B11" s="221"/>
      <c r="K11" s="320" t="s">
        <v>822</v>
      </c>
      <c r="L11" s="310"/>
      <c r="M11" s="310"/>
      <c r="N11" s="310"/>
      <c r="O11" s="310"/>
      <c r="P11" s="310"/>
      <c r="Q11" s="321"/>
      <c r="R11" s="747" t="s">
        <v>1157</v>
      </c>
      <c r="S11" s="748"/>
      <c r="T11" s="748"/>
      <c r="U11" s="748"/>
      <c r="V11" s="748"/>
      <c r="W11" s="748"/>
      <c r="X11" s="748"/>
      <c r="Y11" s="749"/>
      <c r="Z11" s="225"/>
    </row>
    <row r="12" spans="1:26" ht="20.100000000000001" customHeight="1" thickBot="1">
      <c r="B12" s="221"/>
      <c r="K12" s="226" t="s">
        <v>1166</v>
      </c>
      <c r="L12" s="227"/>
      <c r="M12" s="227"/>
      <c r="N12" s="227"/>
      <c r="O12" s="227"/>
      <c r="P12" s="227"/>
      <c r="Q12" s="228"/>
      <c r="R12" s="750" t="s">
        <v>1165</v>
      </c>
      <c r="S12" s="751"/>
      <c r="T12" s="751"/>
      <c r="U12" s="751"/>
      <c r="V12" s="751"/>
      <c r="W12" s="751"/>
      <c r="X12" s="751"/>
      <c r="Y12" s="752"/>
      <c r="Z12" s="225"/>
    </row>
    <row r="16" spans="1:26">
      <c r="B16" s="229" t="str">
        <f>HYPERLINK("#", "【記入例：B529】ハイパーリンク")</f>
        <v>【記入例：B529】ハイパーリンク</v>
      </c>
      <c r="L16" s="230"/>
      <c r="M16" s="230"/>
      <c r="P16"/>
      <c r="Q16"/>
      <c r="R16"/>
    </row>
    <row r="17" spans="2:25">
      <c r="B17" s="666" t="s">
        <v>17</v>
      </c>
      <c r="C17" s="131" t="s">
        <v>19</v>
      </c>
      <c r="D17" s="231"/>
      <c r="E17" s="231"/>
      <c r="F17" s="231"/>
      <c r="G17" s="231"/>
      <c r="H17" s="231"/>
      <c r="I17" s="231"/>
      <c r="J17" s="231"/>
      <c r="K17" s="231"/>
      <c r="L17" s="231"/>
      <c r="M17" s="197"/>
      <c r="N17" s="128" t="s">
        <v>842</v>
      </c>
      <c r="O17" s="65"/>
      <c r="P17" s="65"/>
      <c r="Q17" s="65"/>
      <c r="R17" s="65"/>
      <c r="S17" s="65"/>
      <c r="T17" s="65"/>
      <c r="U17" s="65"/>
      <c r="V17" s="66"/>
      <c r="W17" s="198" t="s">
        <v>26</v>
      </c>
      <c r="X17" s="198"/>
      <c r="Y17" s="198"/>
    </row>
    <row r="18" spans="2:25" ht="33" customHeight="1">
      <c r="B18" s="661"/>
      <c r="C18" s="232" t="s">
        <v>1019</v>
      </c>
      <c r="D18" s="233" t="s">
        <v>1061</v>
      </c>
      <c r="E18" s="233" t="s">
        <v>1062</v>
      </c>
      <c r="F18" s="233" t="s">
        <v>1063</v>
      </c>
      <c r="G18" s="233" t="s">
        <v>1064</v>
      </c>
      <c r="H18" s="233" t="s">
        <v>918</v>
      </c>
      <c r="I18" s="233" t="s">
        <v>1065</v>
      </c>
      <c r="J18" s="233" t="s">
        <v>1066</v>
      </c>
      <c r="K18" s="233" t="s">
        <v>1067</v>
      </c>
      <c r="L18" s="233" t="s">
        <v>1</v>
      </c>
      <c r="M18" s="233" t="s">
        <v>1018</v>
      </c>
      <c r="N18" s="232" t="s">
        <v>833</v>
      </c>
      <c r="O18" s="233" t="s">
        <v>1061</v>
      </c>
      <c r="P18" s="233" t="s">
        <v>1069</v>
      </c>
      <c r="Q18" s="233" t="s">
        <v>918</v>
      </c>
      <c r="R18" s="233" t="s">
        <v>1070</v>
      </c>
      <c r="S18" s="233" t="s">
        <v>1066</v>
      </c>
      <c r="T18" s="233" t="s">
        <v>1067</v>
      </c>
      <c r="U18" s="233" t="s">
        <v>1</v>
      </c>
      <c r="V18" s="233" t="s">
        <v>1026</v>
      </c>
      <c r="W18" s="102" t="s">
        <v>1071</v>
      </c>
      <c r="X18" s="102" t="s">
        <v>1074</v>
      </c>
      <c r="Y18" s="102" t="s">
        <v>915</v>
      </c>
    </row>
    <row r="19" spans="2:25" ht="21.6" customHeight="1">
      <c r="B19" s="59" t="s">
        <v>18</v>
      </c>
      <c r="C19" s="106"/>
      <c r="D19" s="89" t="s">
        <v>38</v>
      </c>
      <c r="E19" s="89" t="s">
        <v>37</v>
      </c>
      <c r="F19" s="89" t="s">
        <v>812</v>
      </c>
      <c r="G19" s="89" t="s">
        <v>813</v>
      </c>
      <c r="H19" s="85"/>
      <c r="I19" s="89" t="s">
        <v>121</v>
      </c>
      <c r="J19" s="234" t="s">
        <v>1181</v>
      </c>
      <c r="K19" s="89" t="s">
        <v>16</v>
      </c>
      <c r="L19" s="62" t="s">
        <v>5</v>
      </c>
      <c r="M19" s="62" t="s">
        <v>843</v>
      </c>
      <c r="N19" s="235"/>
      <c r="O19" s="89" t="s">
        <v>38</v>
      </c>
      <c r="P19" s="89" t="s">
        <v>37</v>
      </c>
      <c r="Q19" s="85"/>
      <c r="R19" s="89" t="s">
        <v>198</v>
      </c>
      <c r="S19" s="89" t="s">
        <v>1181</v>
      </c>
      <c r="T19" s="89" t="s">
        <v>16</v>
      </c>
      <c r="U19" s="62" t="s">
        <v>5</v>
      </c>
      <c r="V19" s="62" t="s">
        <v>843</v>
      </c>
      <c r="W19" s="89" t="s">
        <v>16</v>
      </c>
      <c r="X19" s="62" t="s">
        <v>5</v>
      </c>
      <c r="Y19" s="89" t="s">
        <v>708</v>
      </c>
    </row>
    <row r="20" spans="2:25">
      <c r="B20" s="89" t="s">
        <v>13</v>
      </c>
      <c r="C20" s="236"/>
      <c r="D20" s="323">
        <f>SUM(D21:D520)</f>
        <v>0</v>
      </c>
      <c r="E20" s="238"/>
      <c r="F20" s="179"/>
      <c r="G20" s="179"/>
      <c r="H20" s="236"/>
      <c r="I20" s="179"/>
      <c r="J20" s="330"/>
      <c r="K20" s="324">
        <f>SUM(K21:K520)</f>
        <v>0</v>
      </c>
      <c r="L20" s="325">
        <f>SUM(L21:L520)</f>
        <v>0</v>
      </c>
      <c r="M20" s="325">
        <f>SUM(M21:M520)</f>
        <v>0</v>
      </c>
      <c r="N20" s="239"/>
      <c r="O20" s="323">
        <f>SUM(O21:O520)</f>
        <v>0</v>
      </c>
      <c r="P20" s="236"/>
      <c r="Q20" s="236"/>
      <c r="R20" s="179"/>
      <c r="S20" s="328"/>
      <c r="T20" s="324">
        <f>SUM(T21:T520)</f>
        <v>0</v>
      </c>
      <c r="U20" s="325">
        <f t="shared" ref="U20:Y20" si="0">SUM(U21:U520)</f>
        <v>0</v>
      </c>
      <c r="V20" s="325">
        <f t="shared" si="0"/>
        <v>0</v>
      </c>
      <c r="W20" s="338">
        <f t="shared" si="0"/>
        <v>0</v>
      </c>
      <c r="X20" s="339">
        <f t="shared" si="0"/>
        <v>0</v>
      </c>
      <c r="Y20" s="240">
        <f t="shared" si="0"/>
        <v>0</v>
      </c>
    </row>
    <row r="21" spans="2:25">
      <c r="B21" s="59" t="s">
        <v>42</v>
      </c>
      <c r="C21" s="10"/>
      <c r="D21" s="3"/>
      <c r="E21" s="483"/>
      <c r="F21" s="35"/>
      <c r="G21" s="35"/>
      <c r="H21" s="51" t="s">
        <v>341</v>
      </c>
      <c r="I21" s="3"/>
      <c r="J21" s="331">
        <f>IF(H21="○",F21*G21*I21/100,F21*G21)</f>
        <v>0</v>
      </c>
      <c r="K21" s="331">
        <f>E21*D21*J21/1000</f>
        <v>0</v>
      </c>
      <c r="L21" s="326">
        <f>K21*係数!$I$30</f>
        <v>0</v>
      </c>
      <c r="M21" s="326">
        <f>K21*係数!$C$30*0.0000258</f>
        <v>0</v>
      </c>
      <c r="N21" s="10"/>
      <c r="O21" s="3"/>
      <c r="P21" s="483"/>
      <c r="Q21" s="51" t="s">
        <v>341</v>
      </c>
      <c r="R21" s="3"/>
      <c r="S21" s="329">
        <f>IF(Q21="○",F21*G21*R21/100,F21*G21)</f>
        <v>0</v>
      </c>
      <c r="T21" s="327">
        <f>P21*O21*S21/1000</f>
        <v>0</v>
      </c>
      <c r="U21" s="326">
        <f>T21*係数!$I$30</f>
        <v>0</v>
      </c>
      <c r="V21" s="326">
        <f>T21*係数!$C$30*0.0000258</f>
        <v>0</v>
      </c>
      <c r="W21" s="282">
        <f t="shared" ref="W21:W84" si="1">K21-T21</f>
        <v>0</v>
      </c>
      <c r="X21" s="337">
        <f t="shared" ref="X21:X84" si="2">L21-U21</f>
        <v>0</v>
      </c>
      <c r="Y21" s="244">
        <f t="shared" ref="Y21:Y84" si="3">M21-V21</f>
        <v>0</v>
      </c>
    </row>
    <row r="22" spans="2:25">
      <c r="B22" s="59" t="s">
        <v>43</v>
      </c>
      <c r="C22" s="10"/>
      <c r="D22" s="3"/>
      <c r="E22" s="483"/>
      <c r="F22" s="35"/>
      <c r="G22" s="35"/>
      <c r="H22" s="51" t="s">
        <v>341</v>
      </c>
      <c r="I22" s="3"/>
      <c r="J22" s="331">
        <f>IF(H22="○",F22*G22*I22/100,F22*G22)</f>
        <v>0</v>
      </c>
      <c r="K22" s="331">
        <f t="shared" ref="K22:K84" si="4">E22*D22*J22/1000</f>
        <v>0</v>
      </c>
      <c r="L22" s="326">
        <f>K22*係数!$I$30</f>
        <v>0</v>
      </c>
      <c r="M22" s="326">
        <f>K22*係数!$C$30*0.0000258</f>
        <v>0</v>
      </c>
      <c r="N22" s="10"/>
      <c r="O22" s="3"/>
      <c r="P22" s="483"/>
      <c r="Q22" s="51" t="s">
        <v>341</v>
      </c>
      <c r="R22" s="3"/>
      <c r="S22" s="329">
        <f>IF(Q22="○",F22*G22*R22/100,F22*G22)</f>
        <v>0</v>
      </c>
      <c r="T22" s="327">
        <f t="shared" ref="T22:T84" si="5">P22*O22*S22/1000</f>
        <v>0</v>
      </c>
      <c r="U22" s="326">
        <f>T22*係数!$I$30</f>
        <v>0</v>
      </c>
      <c r="V22" s="326">
        <f>T22*係数!$C$30*0.0000258</f>
        <v>0</v>
      </c>
      <c r="W22" s="282">
        <f t="shared" si="1"/>
        <v>0</v>
      </c>
      <c r="X22" s="337">
        <f t="shared" si="2"/>
        <v>0</v>
      </c>
      <c r="Y22" s="244">
        <f t="shared" si="3"/>
        <v>0</v>
      </c>
    </row>
    <row r="23" spans="2:25">
      <c r="B23" s="59" t="s">
        <v>44</v>
      </c>
      <c r="C23" s="10"/>
      <c r="D23" s="3"/>
      <c r="E23" s="483"/>
      <c r="F23" s="35"/>
      <c r="G23" s="35"/>
      <c r="H23" s="51" t="s">
        <v>341</v>
      </c>
      <c r="I23" s="3"/>
      <c r="J23" s="331">
        <f t="shared" ref="J23:J85" si="6">IF(H23="○",F23*G23*I23/100,F23*G23)</f>
        <v>0</v>
      </c>
      <c r="K23" s="331">
        <f t="shared" si="4"/>
        <v>0</v>
      </c>
      <c r="L23" s="326">
        <f>K23*係数!$I$30</f>
        <v>0</v>
      </c>
      <c r="M23" s="326">
        <f>K23*係数!$C$30*0.0000258</f>
        <v>0</v>
      </c>
      <c r="N23" s="10"/>
      <c r="O23" s="3"/>
      <c r="P23" s="483"/>
      <c r="Q23" s="51" t="s">
        <v>341</v>
      </c>
      <c r="R23" s="3"/>
      <c r="S23" s="329">
        <f t="shared" ref="S23:S84" si="7">IF(Q23="○",F23*G23*R23/100,F23*G23)</f>
        <v>0</v>
      </c>
      <c r="T23" s="327">
        <f t="shared" si="5"/>
        <v>0</v>
      </c>
      <c r="U23" s="326">
        <f>T23*係数!$I$30</f>
        <v>0</v>
      </c>
      <c r="V23" s="326">
        <f>T23*係数!$C$30*0.0000258</f>
        <v>0</v>
      </c>
      <c r="W23" s="282">
        <f t="shared" si="1"/>
        <v>0</v>
      </c>
      <c r="X23" s="337">
        <f t="shared" si="2"/>
        <v>0</v>
      </c>
      <c r="Y23" s="244">
        <f t="shared" si="3"/>
        <v>0</v>
      </c>
    </row>
    <row r="24" spans="2:25">
      <c r="B24" s="59" t="s">
        <v>45</v>
      </c>
      <c r="C24" s="10"/>
      <c r="D24" s="3"/>
      <c r="E24" s="483"/>
      <c r="F24" s="35"/>
      <c r="G24" s="35"/>
      <c r="H24" s="51" t="s">
        <v>341</v>
      </c>
      <c r="I24" s="3"/>
      <c r="J24" s="331">
        <f t="shared" si="6"/>
        <v>0</v>
      </c>
      <c r="K24" s="331">
        <f t="shared" si="4"/>
        <v>0</v>
      </c>
      <c r="L24" s="326">
        <f>K24*係数!$I$30</f>
        <v>0</v>
      </c>
      <c r="M24" s="326">
        <f>K24*係数!$C$30*0.0000258</f>
        <v>0</v>
      </c>
      <c r="N24" s="10"/>
      <c r="O24" s="3"/>
      <c r="P24" s="483"/>
      <c r="Q24" s="51" t="s">
        <v>341</v>
      </c>
      <c r="R24" s="3"/>
      <c r="S24" s="329">
        <f t="shared" si="7"/>
        <v>0</v>
      </c>
      <c r="T24" s="327">
        <f t="shared" si="5"/>
        <v>0</v>
      </c>
      <c r="U24" s="326">
        <f>T24*係数!$I$30</f>
        <v>0</v>
      </c>
      <c r="V24" s="326">
        <f>T24*係数!$C$30*0.0000258</f>
        <v>0</v>
      </c>
      <c r="W24" s="282">
        <f t="shared" si="1"/>
        <v>0</v>
      </c>
      <c r="X24" s="337">
        <f t="shared" si="2"/>
        <v>0</v>
      </c>
      <c r="Y24" s="244">
        <f t="shared" si="3"/>
        <v>0</v>
      </c>
    </row>
    <row r="25" spans="2:25">
      <c r="B25" s="59" t="s">
        <v>46</v>
      </c>
      <c r="C25" s="10"/>
      <c r="D25" s="3"/>
      <c r="E25" s="483"/>
      <c r="F25" s="35"/>
      <c r="G25" s="35"/>
      <c r="H25" s="51" t="s">
        <v>341</v>
      </c>
      <c r="I25" s="3"/>
      <c r="J25" s="331">
        <f t="shared" si="6"/>
        <v>0</v>
      </c>
      <c r="K25" s="331">
        <f t="shared" si="4"/>
        <v>0</v>
      </c>
      <c r="L25" s="326">
        <f>K25*係数!$I$30</f>
        <v>0</v>
      </c>
      <c r="M25" s="326">
        <f>K25*係数!$C$30*0.0000258</f>
        <v>0</v>
      </c>
      <c r="N25" s="10"/>
      <c r="O25" s="3"/>
      <c r="P25" s="483"/>
      <c r="Q25" s="51" t="s">
        <v>341</v>
      </c>
      <c r="R25" s="3"/>
      <c r="S25" s="329">
        <f t="shared" si="7"/>
        <v>0</v>
      </c>
      <c r="T25" s="327">
        <f t="shared" si="5"/>
        <v>0</v>
      </c>
      <c r="U25" s="326">
        <f>T25*係数!$I$30</f>
        <v>0</v>
      </c>
      <c r="V25" s="326">
        <f>T25*係数!$C$30*0.0000258</f>
        <v>0</v>
      </c>
      <c r="W25" s="282">
        <f t="shared" si="1"/>
        <v>0</v>
      </c>
      <c r="X25" s="337">
        <f t="shared" si="2"/>
        <v>0</v>
      </c>
      <c r="Y25" s="244">
        <f t="shared" si="3"/>
        <v>0</v>
      </c>
    </row>
    <row r="26" spans="2:25">
      <c r="B26" s="59" t="s">
        <v>47</v>
      </c>
      <c r="C26" s="10"/>
      <c r="D26" s="3"/>
      <c r="E26" s="483"/>
      <c r="F26" s="35"/>
      <c r="G26" s="35"/>
      <c r="H26" s="51" t="s">
        <v>341</v>
      </c>
      <c r="I26" s="3"/>
      <c r="J26" s="331">
        <f t="shared" si="6"/>
        <v>0</v>
      </c>
      <c r="K26" s="331">
        <f t="shared" si="4"/>
        <v>0</v>
      </c>
      <c r="L26" s="326">
        <f>K26*係数!$I$30</f>
        <v>0</v>
      </c>
      <c r="M26" s="326">
        <f>K26*係数!$C$30*0.0000258</f>
        <v>0</v>
      </c>
      <c r="N26" s="10"/>
      <c r="O26" s="3"/>
      <c r="P26" s="483"/>
      <c r="Q26" s="51" t="s">
        <v>341</v>
      </c>
      <c r="R26" s="3"/>
      <c r="S26" s="329">
        <f t="shared" si="7"/>
        <v>0</v>
      </c>
      <c r="T26" s="327">
        <f t="shared" si="5"/>
        <v>0</v>
      </c>
      <c r="U26" s="326">
        <f>T26*係数!$I$30</f>
        <v>0</v>
      </c>
      <c r="V26" s="326">
        <f>T26*係数!$C$30*0.0000258</f>
        <v>0</v>
      </c>
      <c r="W26" s="282">
        <f t="shared" si="1"/>
        <v>0</v>
      </c>
      <c r="X26" s="337">
        <f t="shared" si="2"/>
        <v>0</v>
      </c>
      <c r="Y26" s="244">
        <f t="shared" si="3"/>
        <v>0</v>
      </c>
    </row>
    <row r="27" spans="2:25">
      <c r="B27" s="59" t="s">
        <v>48</v>
      </c>
      <c r="C27" s="10"/>
      <c r="D27" s="3"/>
      <c r="E27" s="483"/>
      <c r="F27" s="35"/>
      <c r="G27" s="35"/>
      <c r="H27" s="51" t="s">
        <v>341</v>
      </c>
      <c r="I27" s="3"/>
      <c r="J27" s="331">
        <f t="shared" si="6"/>
        <v>0</v>
      </c>
      <c r="K27" s="331">
        <f t="shared" si="4"/>
        <v>0</v>
      </c>
      <c r="L27" s="326">
        <f>K27*係数!$I$30</f>
        <v>0</v>
      </c>
      <c r="M27" s="326">
        <f>K27*係数!$C$30*0.0000258</f>
        <v>0</v>
      </c>
      <c r="N27" s="10"/>
      <c r="O27" s="3"/>
      <c r="P27" s="483"/>
      <c r="Q27" s="51" t="s">
        <v>341</v>
      </c>
      <c r="R27" s="3"/>
      <c r="S27" s="329">
        <f t="shared" si="7"/>
        <v>0</v>
      </c>
      <c r="T27" s="327">
        <f t="shared" si="5"/>
        <v>0</v>
      </c>
      <c r="U27" s="326">
        <f>T27*係数!$I$30</f>
        <v>0</v>
      </c>
      <c r="V27" s="326">
        <f>T27*係数!$C$30*0.0000258</f>
        <v>0</v>
      </c>
      <c r="W27" s="282">
        <f t="shared" si="1"/>
        <v>0</v>
      </c>
      <c r="X27" s="337">
        <f t="shared" si="2"/>
        <v>0</v>
      </c>
      <c r="Y27" s="244">
        <f t="shared" si="3"/>
        <v>0</v>
      </c>
    </row>
    <row r="28" spans="2:25">
      <c r="B28" s="59" t="s">
        <v>49</v>
      </c>
      <c r="C28" s="10"/>
      <c r="D28" s="3"/>
      <c r="E28" s="483"/>
      <c r="F28" s="35"/>
      <c r="G28" s="35"/>
      <c r="H28" s="51" t="s">
        <v>341</v>
      </c>
      <c r="I28" s="3"/>
      <c r="J28" s="331">
        <f t="shared" si="6"/>
        <v>0</v>
      </c>
      <c r="K28" s="331">
        <f t="shared" si="4"/>
        <v>0</v>
      </c>
      <c r="L28" s="326">
        <f>K28*係数!$I$30</f>
        <v>0</v>
      </c>
      <c r="M28" s="326">
        <f>K28*係数!$C$30*0.0000258</f>
        <v>0</v>
      </c>
      <c r="N28" s="10"/>
      <c r="O28" s="3"/>
      <c r="P28" s="483"/>
      <c r="Q28" s="51" t="s">
        <v>341</v>
      </c>
      <c r="R28" s="3"/>
      <c r="S28" s="329">
        <f t="shared" si="7"/>
        <v>0</v>
      </c>
      <c r="T28" s="327">
        <f t="shared" si="5"/>
        <v>0</v>
      </c>
      <c r="U28" s="326">
        <f>T28*係数!$I$30</f>
        <v>0</v>
      </c>
      <c r="V28" s="326">
        <f>T28*係数!$C$30*0.0000258</f>
        <v>0</v>
      </c>
      <c r="W28" s="282">
        <f t="shared" si="1"/>
        <v>0</v>
      </c>
      <c r="X28" s="337">
        <f t="shared" si="2"/>
        <v>0</v>
      </c>
      <c r="Y28" s="244">
        <f t="shared" si="3"/>
        <v>0</v>
      </c>
    </row>
    <row r="29" spans="2:25">
      <c r="B29" s="59" t="s">
        <v>50</v>
      </c>
      <c r="C29" s="10"/>
      <c r="D29" s="3"/>
      <c r="E29" s="483"/>
      <c r="F29" s="35"/>
      <c r="G29" s="35"/>
      <c r="H29" s="51" t="s">
        <v>341</v>
      </c>
      <c r="I29" s="3"/>
      <c r="J29" s="331">
        <f t="shared" si="6"/>
        <v>0</v>
      </c>
      <c r="K29" s="331">
        <f t="shared" si="4"/>
        <v>0</v>
      </c>
      <c r="L29" s="326">
        <f>K29*係数!$I$30</f>
        <v>0</v>
      </c>
      <c r="M29" s="326">
        <f>K29*係数!$C$30*0.0000258</f>
        <v>0</v>
      </c>
      <c r="N29" s="10"/>
      <c r="O29" s="3"/>
      <c r="P29" s="483"/>
      <c r="Q29" s="51" t="s">
        <v>341</v>
      </c>
      <c r="R29" s="3"/>
      <c r="S29" s="329">
        <f t="shared" si="7"/>
        <v>0</v>
      </c>
      <c r="T29" s="327">
        <f t="shared" si="5"/>
        <v>0</v>
      </c>
      <c r="U29" s="326">
        <f>T29*係数!$I$30</f>
        <v>0</v>
      </c>
      <c r="V29" s="326">
        <f>T29*係数!$C$30*0.0000258</f>
        <v>0</v>
      </c>
      <c r="W29" s="282">
        <f t="shared" si="1"/>
        <v>0</v>
      </c>
      <c r="X29" s="337">
        <f t="shared" si="2"/>
        <v>0</v>
      </c>
      <c r="Y29" s="244">
        <f t="shared" si="3"/>
        <v>0</v>
      </c>
    </row>
    <row r="30" spans="2:25">
      <c r="B30" s="59" t="s">
        <v>51</v>
      </c>
      <c r="C30" s="10"/>
      <c r="D30" s="3"/>
      <c r="E30" s="483"/>
      <c r="F30" s="35"/>
      <c r="G30" s="35"/>
      <c r="H30" s="51" t="s">
        <v>341</v>
      </c>
      <c r="I30" s="3"/>
      <c r="J30" s="331">
        <f t="shared" si="6"/>
        <v>0</v>
      </c>
      <c r="K30" s="331">
        <f t="shared" si="4"/>
        <v>0</v>
      </c>
      <c r="L30" s="326">
        <f>K30*係数!$I$30</f>
        <v>0</v>
      </c>
      <c r="M30" s="326">
        <f>K30*係数!$C$30*0.0000258</f>
        <v>0</v>
      </c>
      <c r="N30" s="10"/>
      <c r="O30" s="3"/>
      <c r="P30" s="483"/>
      <c r="Q30" s="51" t="s">
        <v>341</v>
      </c>
      <c r="R30" s="3"/>
      <c r="S30" s="329">
        <f t="shared" si="7"/>
        <v>0</v>
      </c>
      <c r="T30" s="327">
        <f t="shared" si="5"/>
        <v>0</v>
      </c>
      <c r="U30" s="326">
        <f>T30*係数!$I$30</f>
        <v>0</v>
      </c>
      <c r="V30" s="326">
        <f>T30*係数!$C$30*0.0000258</f>
        <v>0</v>
      </c>
      <c r="W30" s="282">
        <f t="shared" si="1"/>
        <v>0</v>
      </c>
      <c r="X30" s="337">
        <f t="shared" si="2"/>
        <v>0</v>
      </c>
      <c r="Y30" s="244">
        <f t="shared" si="3"/>
        <v>0</v>
      </c>
    </row>
    <row r="31" spans="2:25">
      <c r="B31" s="59" t="s">
        <v>52</v>
      </c>
      <c r="C31" s="10"/>
      <c r="D31" s="3"/>
      <c r="E31" s="483"/>
      <c r="F31" s="35"/>
      <c r="G31" s="35"/>
      <c r="H31" s="51" t="s">
        <v>341</v>
      </c>
      <c r="I31" s="3"/>
      <c r="J31" s="331">
        <f t="shared" si="6"/>
        <v>0</v>
      </c>
      <c r="K31" s="331">
        <f t="shared" si="4"/>
        <v>0</v>
      </c>
      <c r="L31" s="326">
        <f>K31*係数!$I$30</f>
        <v>0</v>
      </c>
      <c r="M31" s="326">
        <f>K31*係数!$C$30*0.0000258</f>
        <v>0</v>
      </c>
      <c r="N31" s="10"/>
      <c r="O31" s="3"/>
      <c r="P31" s="483"/>
      <c r="Q31" s="51" t="s">
        <v>341</v>
      </c>
      <c r="R31" s="3"/>
      <c r="S31" s="329">
        <f t="shared" si="7"/>
        <v>0</v>
      </c>
      <c r="T31" s="327">
        <f t="shared" si="5"/>
        <v>0</v>
      </c>
      <c r="U31" s="326">
        <f>T31*係数!$I$30</f>
        <v>0</v>
      </c>
      <c r="V31" s="326">
        <f>T31*係数!$C$30*0.0000258</f>
        <v>0</v>
      </c>
      <c r="W31" s="282">
        <f t="shared" si="1"/>
        <v>0</v>
      </c>
      <c r="X31" s="337">
        <f t="shared" si="2"/>
        <v>0</v>
      </c>
      <c r="Y31" s="244">
        <f t="shared" si="3"/>
        <v>0</v>
      </c>
    </row>
    <row r="32" spans="2:25">
      <c r="B32" s="59" t="s">
        <v>53</v>
      </c>
      <c r="C32" s="10"/>
      <c r="D32" s="3"/>
      <c r="E32" s="483"/>
      <c r="F32" s="35"/>
      <c r="G32" s="35"/>
      <c r="H32" s="51" t="s">
        <v>341</v>
      </c>
      <c r="I32" s="3"/>
      <c r="J32" s="331">
        <f t="shared" si="6"/>
        <v>0</v>
      </c>
      <c r="K32" s="331">
        <f t="shared" si="4"/>
        <v>0</v>
      </c>
      <c r="L32" s="326">
        <f>K32*係数!$I$30</f>
        <v>0</v>
      </c>
      <c r="M32" s="326">
        <f>K32*係数!$C$30*0.0000258</f>
        <v>0</v>
      </c>
      <c r="N32" s="10"/>
      <c r="O32" s="3"/>
      <c r="P32" s="483"/>
      <c r="Q32" s="51" t="s">
        <v>341</v>
      </c>
      <c r="R32" s="3"/>
      <c r="S32" s="329">
        <f t="shared" si="7"/>
        <v>0</v>
      </c>
      <c r="T32" s="327">
        <f t="shared" si="5"/>
        <v>0</v>
      </c>
      <c r="U32" s="326">
        <f>T32*係数!$I$30</f>
        <v>0</v>
      </c>
      <c r="V32" s="326">
        <f>T32*係数!$C$30*0.0000258</f>
        <v>0</v>
      </c>
      <c r="W32" s="282">
        <f t="shared" si="1"/>
        <v>0</v>
      </c>
      <c r="X32" s="337">
        <f t="shared" si="2"/>
        <v>0</v>
      </c>
      <c r="Y32" s="244">
        <f t="shared" si="3"/>
        <v>0</v>
      </c>
    </row>
    <row r="33" spans="2:25">
      <c r="B33" s="59" t="s">
        <v>54</v>
      </c>
      <c r="C33" s="10"/>
      <c r="D33" s="3"/>
      <c r="E33" s="483"/>
      <c r="F33" s="35"/>
      <c r="G33" s="35"/>
      <c r="H33" s="51" t="s">
        <v>341</v>
      </c>
      <c r="I33" s="3"/>
      <c r="J33" s="331">
        <f t="shared" si="6"/>
        <v>0</v>
      </c>
      <c r="K33" s="331">
        <f t="shared" si="4"/>
        <v>0</v>
      </c>
      <c r="L33" s="326">
        <f>K33*係数!$I$30</f>
        <v>0</v>
      </c>
      <c r="M33" s="326">
        <f>K33*係数!$C$30*0.0000258</f>
        <v>0</v>
      </c>
      <c r="N33" s="10"/>
      <c r="O33" s="3"/>
      <c r="P33" s="483"/>
      <c r="Q33" s="51" t="s">
        <v>341</v>
      </c>
      <c r="R33" s="3"/>
      <c r="S33" s="329">
        <f t="shared" si="7"/>
        <v>0</v>
      </c>
      <c r="T33" s="327">
        <f t="shared" si="5"/>
        <v>0</v>
      </c>
      <c r="U33" s="326">
        <f>T33*係数!$I$30</f>
        <v>0</v>
      </c>
      <c r="V33" s="326">
        <f>T33*係数!$C$30*0.0000258</f>
        <v>0</v>
      </c>
      <c r="W33" s="282">
        <f t="shared" si="1"/>
        <v>0</v>
      </c>
      <c r="X33" s="337">
        <f t="shared" si="2"/>
        <v>0</v>
      </c>
      <c r="Y33" s="244">
        <f t="shared" si="3"/>
        <v>0</v>
      </c>
    </row>
    <row r="34" spans="2:25">
      <c r="B34" s="59" t="s">
        <v>55</v>
      </c>
      <c r="C34" s="10"/>
      <c r="D34" s="3"/>
      <c r="E34" s="483"/>
      <c r="F34" s="35"/>
      <c r="G34" s="35"/>
      <c r="H34" s="51" t="s">
        <v>341</v>
      </c>
      <c r="I34" s="3"/>
      <c r="J34" s="331">
        <f t="shared" si="6"/>
        <v>0</v>
      </c>
      <c r="K34" s="331">
        <f t="shared" si="4"/>
        <v>0</v>
      </c>
      <c r="L34" s="326">
        <f>K34*係数!$I$30</f>
        <v>0</v>
      </c>
      <c r="M34" s="326">
        <f>K34*係数!$C$30*0.0000258</f>
        <v>0</v>
      </c>
      <c r="N34" s="10"/>
      <c r="O34" s="3"/>
      <c r="P34" s="483"/>
      <c r="Q34" s="51" t="s">
        <v>341</v>
      </c>
      <c r="R34" s="3"/>
      <c r="S34" s="329">
        <f t="shared" si="7"/>
        <v>0</v>
      </c>
      <c r="T34" s="327">
        <f t="shared" si="5"/>
        <v>0</v>
      </c>
      <c r="U34" s="326">
        <f>T34*係数!$I$30</f>
        <v>0</v>
      </c>
      <c r="V34" s="326">
        <f>T34*係数!$C$30*0.0000258</f>
        <v>0</v>
      </c>
      <c r="W34" s="282">
        <f t="shared" si="1"/>
        <v>0</v>
      </c>
      <c r="X34" s="337">
        <f t="shared" si="2"/>
        <v>0</v>
      </c>
      <c r="Y34" s="244">
        <f t="shared" si="3"/>
        <v>0</v>
      </c>
    </row>
    <row r="35" spans="2:25">
      <c r="B35" s="59" t="s">
        <v>56</v>
      </c>
      <c r="C35" s="10"/>
      <c r="D35" s="3"/>
      <c r="E35" s="483"/>
      <c r="F35" s="35"/>
      <c r="G35" s="35"/>
      <c r="H35" s="51" t="s">
        <v>341</v>
      </c>
      <c r="I35" s="3"/>
      <c r="J35" s="331">
        <f t="shared" si="6"/>
        <v>0</v>
      </c>
      <c r="K35" s="331">
        <f t="shared" si="4"/>
        <v>0</v>
      </c>
      <c r="L35" s="326">
        <f>K35*係数!$I$30</f>
        <v>0</v>
      </c>
      <c r="M35" s="326">
        <f>K35*係数!$C$30*0.0000258</f>
        <v>0</v>
      </c>
      <c r="N35" s="10"/>
      <c r="O35" s="3"/>
      <c r="P35" s="483"/>
      <c r="Q35" s="51" t="s">
        <v>341</v>
      </c>
      <c r="R35" s="3"/>
      <c r="S35" s="329">
        <f t="shared" si="7"/>
        <v>0</v>
      </c>
      <c r="T35" s="327">
        <f t="shared" si="5"/>
        <v>0</v>
      </c>
      <c r="U35" s="326">
        <f>T35*係数!$I$30</f>
        <v>0</v>
      </c>
      <c r="V35" s="326">
        <f>T35*係数!$C$30*0.0000258</f>
        <v>0</v>
      </c>
      <c r="W35" s="282">
        <f t="shared" si="1"/>
        <v>0</v>
      </c>
      <c r="X35" s="337">
        <f t="shared" si="2"/>
        <v>0</v>
      </c>
      <c r="Y35" s="244">
        <f t="shared" si="3"/>
        <v>0</v>
      </c>
    </row>
    <row r="36" spans="2:25">
      <c r="B36" s="59" t="s">
        <v>57</v>
      </c>
      <c r="C36" s="10"/>
      <c r="D36" s="3"/>
      <c r="E36" s="483"/>
      <c r="F36" s="35"/>
      <c r="G36" s="35"/>
      <c r="H36" s="51" t="s">
        <v>341</v>
      </c>
      <c r="I36" s="3"/>
      <c r="J36" s="331">
        <f t="shared" si="6"/>
        <v>0</v>
      </c>
      <c r="K36" s="331">
        <f t="shared" si="4"/>
        <v>0</v>
      </c>
      <c r="L36" s="326">
        <f>K36*係数!$I$30</f>
        <v>0</v>
      </c>
      <c r="M36" s="326">
        <f>K36*係数!$C$30*0.0000258</f>
        <v>0</v>
      </c>
      <c r="N36" s="10"/>
      <c r="O36" s="3"/>
      <c r="P36" s="483"/>
      <c r="Q36" s="51" t="s">
        <v>341</v>
      </c>
      <c r="R36" s="3"/>
      <c r="S36" s="329">
        <f t="shared" si="7"/>
        <v>0</v>
      </c>
      <c r="T36" s="327">
        <f t="shared" si="5"/>
        <v>0</v>
      </c>
      <c r="U36" s="326">
        <f>T36*係数!$I$30</f>
        <v>0</v>
      </c>
      <c r="V36" s="326">
        <f>T36*係数!$C$30*0.0000258</f>
        <v>0</v>
      </c>
      <c r="W36" s="282">
        <f t="shared" si="1"/>
        <v>0</v>
      </c>
      <c r="X36" s="337">
        <f t="shared" si="2"/>
        <v>0</v>
      </c>
      <c r="Y36" s="244">
        <f t="shared" si="3"/>
        <v>0</v>
      </c>
    </row>
    <row r="37" spans="2:25">
      <c r="B37" s="59" t="s">
        <v>58</v>
      </c>
      <c r="C37" s="10"/>
      <c r="D37" s="3"/>
      <c r="E37" s="483"/>
      <c r="F37" s="35"/>
      <c r="G37" s="35"/>
      <c r="H37" s="51" t="s">
        <v>341</v>
      </c>
      <c r="I37" s="3"/>
      <c r="J37" s="331">
        <f t="shared" si="6"/>
        <v>0</v>
      </c>
      <c r="K37" s="331">
        <f t="shared" si="4"/>
        <v>0</v>
      </c>
      <c r="L37" s="326">
        <f>K37*係数!$I$30</f>
        <v>0</v>
      </c>
      <c r="M37" s="326">
        <f>K37*係数!$C$30*0.0000258</f>
        <v>0</v>
      </c>
      <c r="N37" s="10"/>
      <c r="O37" s="3"/>
      <c r="P37" s="483"/>
      <c r="Q37" s="51" t="s">
        <v>341</v>
      </c>
      <c r="R37" s="3"/>
      <c r="S37" s="329">
        <f t="shared" si="7"/>
        <v>0</v>
      </c>
      <c r="T37" s="327">
        <f t="shared" si="5"/>
        <v>0</v>
      </c>
      <c r="U37" s="326">
        <f>T37*係数!$I$30</f>
        <v>0</v>
      </c>
      <c r="V37" s="326">
        <f>T37*係数!$C$30*0.0000258</f>
        <v>0</v>
      </c>
      <c r="W37" s="282">
        <f t="shared" si="1"/>
        <v>0</v>
      </c>
      <c r="X37" s="337">
        <f t="shared" si="2"/>
        <v>0</v>
      </c>
      <c r="Y37" s="244">
        <f t="shared" si="3"/>
        <v>0</v>
      </c>
    </row>
    <row r="38" spans="2:25">
      <c r="B38" s="59" t="s">
        <v>59</v>
      </c>
      <c r="C38" s="10"/>
      <c r="D38" s="3"/>
      <c r="E38" s="483"/>
      <c r="F38" s="35"/>
      <c r="G38" s="35"/>
      <c r="H38" s="51" t="s">
        <v>341</v>
      </c>
      <c r="I38" s="3"/>
      <c r="J38" s="331">
        <f t="shared" si="6"/>
        <v>0</v>
      </c>
      <c r="K38" s="331">
        <f t="shared" si="4"/>
        <v>0</v>
      </c>
      <c r="L38" s="326">
        <f>K38*係数!$I$30</f>
        <v>0</v>
      </c>
      <c r="M38" s="326">
        <f>K38*係数!$C$30*0.0000258</f>
        <v>0</v>
      </c>
      <c r="N38" s="10"/>
      <c r="O38" s="3"/>
      <c r="P38" s="483"/>
      <c r="Q38" s="51" t="s">
        <v>341</v>
      </c>
      <c r="R38" s="3"/>
      <c r="S38" s="329">
        <f t="shared" si="7"/>
        <v>0</v>
      </c>
      <c r="T38" s="327">
        <f t="shared" si="5"/>
        <v>0</v>
      </c>
      <c r="U38" s="326">
        <f>T38*係数!$I$30</f>
        <v>0</v>
      </c>
      <c r="V38" s="326">
        <f>T38*係数!$C$30*0.0000258</f>
        <v>0</v>
      </c>
      <c r="W38" s="282">
        <f t="shared" si="1"/>
        <v>0</v>
      </c>
      <c r="X38" s="337">
        <f t="shared" si="2"/>
        <v>0</v>
      </c>
      <c r="Y38" s="244">
        <f t="shared" si="3"/>
        <v>0</v>
      </c>
    </row>
    <row r="39" spans="2:25">
      <c r="B39" s="59" t="s">
        <v>60</v>
      </c>
      <c r="C39" s="10"/>
      <c r="D39" s="3"/>
      <c r="E39" s="483"/>
      <c r="F39" s="35"/>
      <c r="G39" s="35"/>
      <c r="H39" s="51" t="s">
        <v>341</v>
      </c>
      <c r="I39" s="3"/>
      <c r="J39" s="331">
        <f t="shared" si="6"/>
        <v>0</v>
      </c>
      <c r="K39" s="331">
        <f t="shared" si="4"/>
        <v>0</v>
      </c>
      <c r="L39" s="326">
        <f>K39*係数!$I$30</f>
        <v>0</v>
      </c>
      <c r="M39" s="326">
        <f>K39*係数!$C$30*0.0000258</f>
        <v>0</v>
      </c>
      <c r="N39" s="10"/>
      <c r="O39" s="3"/>
      <c r="P39" s="483"/>
      <c r="Q39" s="51" t="s">
        <v>341</v>
      </c>
      <c r="R39" s="3"/>
      <c r="S39" s="329">
        <f t="shared" si="7"/>
        <v>0</v>
      </c>
      <c r="T39" s="327">
        <f t="shared" si="5"/>
        <v>0</v>
      </c>
      <c r="U39" s="326">
        <f>T39*係数!$I$30</f>
        <v>0</v>
      </c>
      <c r="V39" s="326">
        <f>T39*係数!$C$30*0.0000258</f>
        <v>0</v>
      </c>
      <c r="W39" s="282">
        <f t="shared" si="1"/>
        <v>0</v>
      </c>
      <c r="X39" s="337">
        <f t="shared" si="2"/>
        <v>0</v>
      </c>
      <c r="Y39" s="244">
        <f t="shared" si="3"/>
        <v>0</v>
      </c>
    </row>
    <row r="40" spans="2:25">
      <c r="B40" s="59" t="s">
        <v>61</v>
      </c>
      <c r="C40" s="10"/>
      <c r="D40" s="3"/>
      <c r="E40" s="483"/>
      <c r="F40" s="35"/>
      <c r="G40" s="35"/>
      <c r="H40" s="51" t="s">
        <v>341</v>
      </c>
      <c r="I40" s="3"/>
      <c r="J40" s="331">
        <f t="shared" si="6"/>
        <v>0</v>
      </c>
      <c r="K40" s="331">
        <f t="shared" si="4"/>
        <v>0</v>
      </c>
      <c r="L40" s="326">
        <f>K40*係数!$I$30</f>
        <v>0</v>
      </c>
      <c r="M40" s="326">
        <f>K40*係数!$C$30*0.0000258</f>
        <v>0</v>
      </c>
      <c r="N40" s="10"/>
      <c r="O40" s="3"/>
      <c r="P40" s="483"/>
      <c r="Q40" s="51" t="s">
        <v>341</v>
      </c>
      <c r="R40" s="3"/>
      <c r="S40" s="329">
        <f t="shared" si="7"/>
        <v>0</v>
      </c>
      <c r="T40" s="327">
        <f t="shared" si="5"/>
        <v>0</v>
      </c>
      <c r="U40" s="326">
        <f>T40*係数!$I$30</f>
        <v>0</v>
      </c>
      <c r="V40" s="326">
        <f>T40*係数!$C$30*0.0000258</f>
        <v>0</v>
      </c>
      <c r="W40" s="282">
        <f t="shared" si="1"/>
        <v>0</v>
      </c>
      <c r="X40" s="337">
        <f t="shared" si="2"/>
        <v>0</v>
      </c>
      <c r="Y40" s="244">
        <f t="shared" si="3"/>
        <v>0</v>
      </c>
    </row>
    <row r="41" spans="2:25">
      <c r="B41" s="59" t="s">
        <v>62</v>
      </c>
      <c r="C41" s="10"/>
      <c r="D41" s="3"/>
      <c r="E41" s="483"/>
      <c r="F41" s="35"/>
      <c r="G41" s="35"/>
      <c r="H41" s="51" t="s">
        <v>341</v>
      </c>
      <c r="I41" s="3"/>
      <c r="J41" s="331">
        <f t="shared" si="6"/>
        <v>0</v>
      </c>
      <c r="K41" s="331">
        <f t="shared" si="4"/>
        <v>0</v>
      </c>
      <c r="L41" s="326">
        <f>K41*係数!$I$30</f>
        <v>0</v>
      </c>
      <c r="M41" s="326">
        <f>K41*係数!$C$30*0.0000258</f>
        <v>0</v>
      </c>
      <c r="N41" s="10"/>
      <c r="O41" s="3"/>
      <c r="P41" s="483"/>
      <c r="Q41" s="51" t="s">
        <v>341</v>
      </c>
      <c r="R41" s="3"/>
      <c r="S41" s="329">
        <f t="shared" si="7"/>
        <v>0</v>
      </c>
      <c r="T41" s="327">
        <f t="shared" si="5"/>
        <v>0</v>
      </c>
      <c r="U41" s="326">
        <f>T41*係数!$I$30</f>
        <v>0</v>
      </c>
      <c r="V41" s="326">
        <f>T41*係数!$C$30*0.0000258</f>
        <v>0</v>
      </c>
      <c r="W41" s="282">
        <f t="shared" si="1"/>
        <v>0</v>
      </c>
      <c r="X41" s="337">
        <f t="shared" si="2"/>
        <v>0</v>
      </c>
      <c r="Y41" s="244">
        <f t="shared" si="3"/>
        <v>0</v>
      </c>
    </row>
    <row r="42" spans="2:25">
      <c r="B42" s="59" t="s">
        <v>63</v>
      </c>
      <c r="C42" s="10"/>
      <c r="D42" s="3"/>
      <c r="E42" s="483"/>
      <c r="F42" s="35"/>
      <c r="G42" s="35"/>
      <c r="H42" s="51" t="s">
        <v>341</v>
      </c>
      <c r="I42" s="3"/>
      <c r="J42" s="331">
        <f t="shared" si="6"/>
        <v>0</v>
      </c>
      <c r="K42" s="331">
        <f t="shared" si="4"/>
        <v>0</v>
      </c>
      <c r="L42" s="326">
        <f>K42*係数!$I$30</f>
        <v>0</v>
      </c>
      <c r="M42" s="326">
        <f>K42*係数!$C$30*0.0000258</f>
        <v>0</v>
      </c>
      <c r="N42" s="10"/>
      <c r="O42" s="3"/>
      <c r="P42" s="483"/>
      <c r="Q42" s="51" t="s">
        <v>341</v>
      </c>
      <c r="R42" s="3"/>
      <c r="S42" s="329">
        <f t="shared" si="7"/>
        <v>0</v>
      </c>
      <c r="T42" s="327">
        <f t="shared" si="5"/>
        <v>0</v>
      </c>
      <c r="U42" s="326">
        <f>T42*係数!$I$30</f>
        <v>0</v>
      </c>
      <c r="V42" s="326">
        <f>T42*係数!$C$30*0.0000258</f>
        <v>0</v>
      </c>
      <c r="W42" s="282">
        <f t="shared" si="1"/>
        <v>0</v>
      </c>
      <c r="X42" s="337">
        <f t="shared" si="2"/>
        <v>0</v>
      </c>
      <c r="Y42" s="244">
        <f t="shared" si="3"/>
        <v>0</v>
      </c>
    </row>
    <row r="43" spans="2:25">
      <c r="B43" s="59" t="s">
        <v>64</v>
      </c>
      <c r="C43" s="10"/>
      <c r="D43" s="3"/>
      <c r="E43" s="483"/>
      <c r="F43" s="35"/>
      <c r="G43" s="35"/>
      <c r="H43" s="51" t="s">
        <v>341</v>
      </c>
      <c r="I43" s="3"/>
      <c r="J43" s="331">
        <f t="shared" si="6"/>
        <v>0</v>
      </c>
      <c r="K43" s="331">
        <f t="shared" si="4"/>
        <v>0</v>
      </c>
      <c r="L43" s="326">
        <f>K43*係数!$I$30</f>
        <v>0</v>
      </c>
      <c r="M43" s="326">
        <f>K43*係数!$C$30*0.0000258</f>
        <v>0</v>
      </c>
      <c r="N43" s="10"/>
      <c r="O43" s="3"/>
      <c r="P43" s="483"/>
      <c r="Q43" s="51" t="s">
        <v>341</v>
      </c>
      <c r="R43" s="3"/>
      <c r="S43" s="329">
        <f t="shared" si="7"/>
        <v>0</v>
      </c>
      <c r="T43" s="327">
        <f t="shared" si="5"/>
        <v>0</v>
      </c>
      <c r="U43" s="326">
        <f>T43*係数!$I$30</f>
        <v>0</v>
      </c>
      <c r="V43" s="326">
        <f>T43*係数!$C$30*0.0000258</f>
        <v>0</v>
      </c>
      <c r="W43" s="282">
        <f t="shared" si="1"/>
        <v>0</v>
      </c>
      <c r="X43" s="337">
        <f t="shared" si="2"/>
        <v>0</v>
      </c>
      <c r="Y43" s="244">
        <f t="shared" si="3"/>
        <v>0</v>
      </c>
    </row>
    <row r="44" spans="2:25">
      <c r="B44" s="59" t="s">
        <v>65</v>
      </c>
      <c r="C44" s="10"/>
      <c r="D44" s="3"/>
      <c r="E44" s="483"/>
      <c r="F44" s="35"/>
      <c r="G44" s="35"/>
      <c r="H44" s="51" t="s">
        <v>341</v>
      </c>
      <c r="I44" s="3"/>
      <c r="J44" s="331">
        <f t="shared" si="6"/>
        <v>0</v>
      </c>
      <c r="K44" s="331">
        <f t="shared" si="4"/>
        <v>0</v>
      </c>
      <c r="L44" s="326">
        <f>K44*係数!$I$30</f>
        <v>0</v>
      </c>
      <c r="M44" s="326">
        <f>K44*係数!$C$30*0.0000258</f>
        <v>0</v>
      </c>
      <c r="N44" s="10"/>
      <c r="O44" s="3"/>
      <c r="P44" s="483"/>
      <c r="Q44" s="51" t="s">
        <v>341</v>
      </c>
      <c r="R44" s="3"/>
      <c r="S44" s="329">
        <f t="shared" si="7"/>
        <v>0</v>
      </c>
      <c r="T44" s="327">
        <f t="shared" si="5"/>
        <v>0</v>
      </c>
      <c r="U44" s="326">
        <f>T44*係数!$I$30</f>
        <v>0</v>
      </c>
      <c r="V44" s="326">
        <f>T44*係数!$C$30*0.0000258</f>
        <v>0</v>
      </c>
      <c r="W44" s="282">
        <f t="shared" si="1"/>
        <v>0</v>
      </c>
      <c r="X44" s="337">
        <f t="shared" si="2"/>
        <v>0</v>
      </c>
      <c r="Y44" s="244">
        <f t="shared" si="3"/>
        <v>0</v>
      </c>
    </row>
    <row r="45" spans="2:25">
      <c r="B45" s="59" t="s">
        <v>66</v>
      </c>
      <c r="C45" s="10"/>
      <c r="D45" s="3"/>
      <c r="E45" s="483"/>
      <c r="F45" s="35"/>
      <c r="G45" s="35"/>
      <c r="H45" s="51" t="s">
        <v>341</v>
      </c>
      <c r="I45" s="3"/>
      <c r="J45" s="331">
        <f t="shared" si="6"/>
        <v>0</v>
      </c>
      <c r="K45" s="331">
        <f t="shared" si="4"/>
        <v>0</v>
      </c>
      <c r="L45" s="326">
        <f>K45*係数!$I$30</f>
        <v>0</v>
      </c>
      <c r="M45" s="326">
        <f>K45*係数!$C$30*0.0000258</f>
        <v>0</v>
      </c>
      <c r="N45" s="10"/>
      <c r="O45" s="3"/>
      <c r="P45" s="483"/>
      <c r="Q45" s="51" t="s">
        <v>341</v>
      </c>
      <c r="R45" s="3"/>
      <c r="S45" s="329">
        <f t="shared" si="7"/>
        <v>0</v>
      </c>
      <c r="T45" s="327">
        <f t="shared" si="5"/>
        <v>0</v>
      </c>
      <c r="U45" s="326">
        <f>T45*係数!$I$30</f>
        <v>0</v>
      </c>
      <c r="V45" s="326">
        <f>T45*係数!$C$30*0.0000258</f>
        <v>0</v>
      </c>
      <c r="W45" s="282">
        <f t="shared" si="1"/>
        <v>0</v>
      </c>
      <c r="X45" s="337">
        <f t="shared" si="2"/>
        <v>0</v>
      </c>
      <c r="Y45" s="244">
        <f t="shared" si="3"/>
        <v>0</v>
      </c>
    </row>
    <row r="46" spans="2:25">
      <c r="B46" s="59" t="s">
        <v>67</v>
      </c>
      <c r="C46" s="10"/>
      <c r="D46" s="3"/>
      <c r="E46" s="483"/>
      <c r="F46" s="35"/>
      <c r="G46" s="35"/>
      <c r="H46" s="51" t="s">
        <v>341</v>
      </c>
      <c r="I46" s="3"/>
      <c r="J46" s="331">
        <f t="shared" si="6"/>
        <v>0</v>
      </c>
      <c r="K46" s="331">
        <f t="shared" si="4"/>
        <v>0</v>
      </c>
      <c r="L46" s="326">
        <f>K46*係数!$I$30</f>
        <v>0</v>
      </c>
      <c r="M46" s="326">
        <f>K46*係数!$C$30*0.0000258</f>
        <v>0</v>
      </c>
      <c r="N46" s="10"/>
      <c r="O46" s="3"/>
      <c r="P46" s="483"/>
      <c r="Q46" s="51" t="s">
        <v>341</v>
      </c>
      <c r="R46" s="3"/>
      <c r="S46" s="329">
        <f t="shared" si="7"/>
        <v>0</v>
      </c>
      <c r="T46" s="327">
        <f t="shared" si="5"/>
        <v>0</v>
      </c>
      <c r="U46" s="326">
        <f>T46*係数!$I$30</f>
        <v>0</v>
      </c>
      <c r="V46" s="326">
        <f>T46*係数!$C$30*0.0000258</f>
        <v>0</v>
      </c>
      <c r="W46" s="282">
        <f t="shared" si="1"/>
        <v>0</v>
      </c>
      <c r="X46" s="337">
        <f t="shared" si="2"/>
        <v>0</v>
      </c>
      <c r="Y46" s="244">
        <f t="shared" si="3"/>
        <v>0</v>
      </c>
    </row>
    <row r="47" spans="2:25">
      <c r="B47" s="59" t="s">
        <v>68</v>
      </c>
      <c r="C47" s="10"/>
      <c r="D47" s="3"/>
      <c r="E47" s="483"/>
      <c r="F47" s="35"/>
      <c r="G47" s="35"/>
      <c r="H47" s="51" t="s">
        <v>341</v>
      </c>
      <c r="I47" s="3"/>
      <c r="J47" s="331">
        <f t="shared" si="6"/>
        <v>0</v>
      </c>
      <c r="K47" s="331">
        <f t="shared" si="4"/>
        <v>0</v>
      </c>
      <c r="L47" s="326">
        <f>K47*係数!$I$30</f>
        <v>0</v>
      </c>
      <c r="M47" s="326">
        <f>K47*係数!$C$30*0.0000258</f>
        <v>0</v>
      </c>
      <c r="N47" s="10"/>
      <c r="O47" s="3"/>
      <c r="P47" s="483"/>
      <c r="Q47" s="51" t="s">
        <v>341</v>
      </c>
      <c r="R47" s="3"/>
      <c r="S47" s="329">
        <f t="shared" si="7"/>
        <v>0</v>
      </c>
      <c r="T47" s="327">
        <f t="shared" si="5"/>
        <v>0</v>
      </c>
      <c r="U47" s="326">
        <f>T47*係数!$I$30</f>
        <v>0</v>
      </c>
      <c r="V47" s="326">
        <f>T47*係数!$C$30*0.0000258</f>
        <v>0</v>
      </c>
      <c r="W47" s="282">
        <f t="shared" si="1"/>
        <v>0</v>
      </c>
      <c r="X47" s="337">
        <f t="shared" si="2"/>
        <v>0</v>
      </c>
      <c r="Y47" s="244">
        <f t="shared" si="3"/>
        <v>0</v>
      </c>
    </row>
    <row r="48" spans="2:25">
      <c r="B48" s="59" t="s">
        <v>69</v>
      </c>
      <c r="C48" s="10"/>
      <c r="D48" s="3"/>
      <c r="E48" s="483"/>
      <c r="F48" s="35"/>
      <c r="G48" s="35"/>
      <c r="H48" s="51" t="s">
        <v>341</v>
      </c>
      <c r="I48" s="3"/>
      <c r="J48" s="331">
        <f t="shared" si="6"/>
        <v>0</v>
      </c>
      <c r="K48" s="331">
        <f t="shared" si="4"/>
        <v>0</v>
      </c>
      <c r="L48" s="326">
        <f>K48*係数!$I$30</f>
        <v>0</v>
      </c>
      <c r="M48" s="326">
        <f>K48*係数!$C$30*0.0000258</f>
        <v>0</v>
      </c>
      <c r="N48" s="10"/>
      <c r="O48" s="3"/>
      <c r="P48" s="483"/>
      <c r="Q48" s="51" t="s">
        <v>341</v>
      </c>
      <c r="R48" s="3"/>
      <c r="S48" s="329">
        <f t="shared" si="7"/>
        <v>0</v>
      </c>
      <c r="T48" s="327">
        <f t="shared" si="5"/>
        <v>0</v>
      </c>
      <c r="U48" s="326">
        <f>T48*係数!$I$30</f>
        <v>0</v>
      </c>
      <c r="V48" s="326">
        <f>T48*係数!$C$30*0.0000258</f>
        <v>0</v>
      </c>
      <c r="W48" s="282">
        <f t="shared" si="1"/>
        <v>0</v>
      </c>
      <c r="X48" s="337">
        <f t="shared" si="2"/>
        <v>0</v>
      </c>
      <c r="Y48" s="244">
        <f t="shared" si="3"/>
        <v>0</v>
      </c>
    </row>
    <row r="49" spans="2:25">
      <c r="B49" s="59" t="s">
        <v>70</v>
      </c>
      <c r="C49" s="10"/>
      <c r="D49" s="3"/>
      <c r="E49" s="483"/>
      <c r="F49" s="35"/>
      <c r="G49" s="35"/>
      <c r="H49" s="51" t="s">
        <v>341</v>
      </c>
      <c r="I49" s="3"/>
      <c r="J49" s="331">
        <f t="shared" si="6"/>
        <v>0</v>
      </c>
      <c r="K49" s="331">
        <f t="shared" si="4"/>
        <v>0</v>
      </c>
      <c r="L49" s="326">
        <f>K49*係数!$I$30</f>
        <v>0</v>
      </c>
      <c r="M49" s="326">
        <f>K49*係数!$C$30*0.0000258</f>
        <v>0</v>
      </c>
      <c r="N49" s="10"/>
      <c r="O49" s="3"/>
      <c r="P49" s="483"/>
      <c r="Q49" s="51" t="s">
        <v>341</v>
      </c>
      <c r="R49" s="3"/>
      <c r="S49" s="329">
        <f t="shared" si="7"/>
        <v>0</v>
      </c>
      <c r="T49" s="327">
        <f t="shared" si="5"/>
        <v>0</v>
      </c>
      <c r="U49" s="326">
        <f>T49*係数!$I$30</f>
        <v>0</v>
      </c>
      <c r="V49" s="326">
        <f>T49*係数!$C$30*0.0000258</f>
        <v>0</v>
      </c>
      <c r="W49" s="282">
        <f t="shared" si="1"/>
        <v>0</v>
      </c>
      <c r="X49" s="337">
        <f t="shared" si="2"/>
        <v>0</v>
      </c>
      <c r="Y49" s="244">
        <f t="shared" si="3"/>
        <v>0</v>
      </c>
    </row>
    <row r="50" spans="2:25">
      <c r="B50" s="59" t="s">
        <v>71</v>
      </c>
      <c r="C50" s="10"/>
      <c r="D50" s="3"/>
      <c r="E50" s="483"/>
      <c r="F50" s="35"/>
      <c r="G50" s="35"/>
      <c r="H50" s="51" t="s">
        <v>341</v>
      </c>
      <c r="I50" s="3"/>
      <c r="J50" s="331">
        <f t="shared" si="6"/>
        <v>0</v>
      </c>
      <c r="K50" s="331">
        <f t="shared" si="4"/>
        <v>0</v>
      </c>
      <c r="L50" s="326">
        <f>K50*係数!$I$30</f>
        <v>0</v>
      </c>
      <c r="M50" s="326">
        <f>K50*係数!$C$30*0.0000258</f>
        <v>0</v>
      </c>
      <c r="N50" s="10"/>
      <c r="O50" s="3"/>
      <c r="P50" s="483"/>
      <c r="Q50" s="51" t="s">
        <v>341</v>
      </c>
      <c r="R50" s="3"/>
      <c r="S50" s="329">
        <f t="shared" si="7"/>
        <v>0</v>
      </c>
      <c r="T50" s="327">
        <f t="shared" si="5"/>
        <v>0</v>
      </c>
      <c r="U50" s="326">
        <f>T50*係数!$I$30</f>
        <v>0</v>
      </c>
      <c r="V50" s="326">
        <f>T50*係数!$C$30*0.0000258</f>
        <v>0</v>
      </c>
      <c r="W50" s="282">
        <f t="shared" si="1"/>
        <v>0</v>
      </c>
      <c r="X50" s="337">
        <f t="shared" si="2"/>
        <v>0</v>
      </c>
      <c r="Y50" s="244">
        <f t="shared" si="3"/>
        <v>0</v>
      </c>
    </row>
    <row r="51" spans="2:25">
      <c r="B51" s="59" t="s">
        <v>72</v>
      </c>
      <c r="C51" s="10"/>
      <c r="D51" s="3"/>
      <c r="E51" s="483"/>
      <c r="F51" s="35"/>
      <c r="G51" s="35"/>
      <c r="H51" s="51" t="s">
        <v>341</v>
      </c>
      <c r="I51" s="3"/>
      <c r="J51" s="331">
        <f t="shared" si="6"/>
        <v>0</v>
      </c>
      <c r="K51" s="331">
        <f t="shared" si="4"/>
        <v>0</v>
      </c>
      <c r="L51" s="326">
        <f>K51*係数!$I$30</f>
        <v>0</v>
      </c>
      <c r="M51" s="326">
        <f>K51*係数!$C$30*0.0000258</f>
        <v>0</v>
      </c>
      <c r="N51" s="10"/>
      <c r="O51" s="3"/>
      <c r="P51" s="483"/>
      <c r="Q51" s="51" t="s">
        <v>341</v>
      </c>
      <c r="R51" s="3"/>
      <c r="S51" s="329">
        <f t="shared" si="7"/>
        <v>0</v>
      </c>
      <c r="T51" s="327">
        <f t="shared" si="5"/>
        <v>0</v>
      </c>
      <c r="U51" s="326">
        <f>T51*係数!$I$30</f>
        <v>0</v>
      </c>
      <c r="V51" s="326">
        <f>T51*係数!$C$30*0.0000258</f>
        <v>0</v>
      </c>
      <c r="W51" s="282">
        <f t="shared" si="1"/>
        <v>0</v>
      </c>
      <c r="X51" s="337">
        <f t="shared" si="2"/>
        <v>0</v>
      </c>
      <c r="Y51" s="244">
        <f t="shared" si="3"/>
        <v>0</v>
      </c>
    </row>
    <row r="52" spans="2:25">
      <c r="B52" s="59" t="s">
        <v>73</v>
      </c>
      <c r="C52" s="10"/>
      <c r="D52" s="3"/>
      <c r="E52" s="483"/>
      <c r="F52" s="35"/>
      <c r="G52" s="35"/>
      <c r="H52" s="51" t="s">
        <v>341</v>
      </c>
      <c r="I52" s="3"/>
      <c r="J52" s="331">
        <f t="shared" si="6"/>
        <v>0</v>
      </c>
      <c r="K52" s="331">
        <f t="shared" si="4"/>
        <v>0</v>
      </c>
      <c r="L52" s="326">
        <f>K52*係数!$I$30</f>
        <v>0</v>
      </c>
      <c r="M52" s="326">
        <f>K52*係数!$C$30*0.0000258</f>
        <v>0</v>
      </c>
      <c r="N52" s="10"/>
      <c r="O52" s="3"/>
      <c r="P52" s="483"/>
      <c r="Q52" s="51" t="s">
        <v>341</v>
      </c>
      <c r="R52" s="3"/>
      <c r="S52" s="329">
        <f t="shared" si="7"/>
        <v>0</v>
      </c>
      <c r="T52" s="327">
        <f t="shared" si="5"/>
        <v>0</v>
      </c>
      <c r="U52" s="326">
        <f>T52*係数!$I$30</f>
        <v>0</v>
      </c>
      <c r="V52" s="326">
        <f>T52*係数!$C$30*0.0000258</f>
        <v>0</v>
      </c>
      <c r="W52" s="282">
        <f t="shared" si="1"/>
        <v>0</v>
      </c>
      <c r="X52" s="337">
        <f t="shared" si="2"/>
        <v>0</v>
      </c>
      <c r="Y52" s="244">
        <f t="shared" si="3"/>
        <v>0</v>
      </c>
    </row>
    <row r="53" spans="2:25">
      <c r="B53" s="59" t="s">
        <v>74</v>
      </c>
      <c r="C53" s="10"/>
      <c r="D53" s="3"/>
      <c r="E53" s="483"/>
      <c r="F53" s="35"/>
      <c r="G53" s="35"/>
      <c r="H53" s="51" t="s">
        <v>341</v>
      </c>
      <c r="I53" s="3"/>
      <c r="J53" s="331">
        <f t="shared" si="6"/>
        <v>0</v>
      </c>
      <c r="K53" s="331">
        <f t="shared" si="4"/>
        <v>0</v>
      </c>
      <c r="L53" s="326">
        <f>K53*係数!$I$30</f>
        <v>0</v>
      </c>
      <c r="M53" s="326">
        <f>K53*係数!$C$30*0.0000258</f>
        <v>0</v>
      </c>
      <c r="N53" s="10"/>
      <c r="O53" s="3"/>
      <c r="P53" s="483"/>
      <c r="Q53" s="51" t="s">
        <v>341</v>
      </c>
      <c r="R53" s="3"/>
      <c r="S53" s="329">
        <f t="shared" si="7"/>
        <v>0</v>
      </c>
      <c r="T53" s="327">
        <f t="shared" si="5"/>
        <v>0</v>
      </c>
      <c r="U53" s="326">
        <f>T53*係数!$I$30</f>
        <v>0</v>
      </c>
      <c r="V53" s="326">
        <f>T53*係数!$C$30*0.0000258</f>
        <v>0</v>
      </c>
      <c r="W53" s="282">
        <f t="shared" si="1"/>
        <v>0</v>
      </c>
      <c r="X53" s="337">
        <f t="shared" si="2"/>
        <v>0</v>
      </c>
      <c r="Y53" s="244">
        <f t="shared" si="3"/>
        <v>0</v>
      </c>
    </row>
    <row r="54" spans="2:25">
      <c r="B54" s="59" t="s">
        <v>75</v>
      </c>
      <c r="C54" s="10"/>
      <c r="D54" s="3"/>
      <c r="E54" s="483"/>
      <c r="F54" s="35"/>
      <c r="G54" s="35"/>
      <c r="H54" s="51" t="s">
        <v>341</v>
      </c>
      <c r="I54" s="3"/>
      <c r="J54" s="331">
        <f t="shared" si="6"/>
        <v>0</v>
      </c>
      <c r="K54" s="331">
        <f t="shared" si="4"/>
        <v>0</v>
      </c>
      <c r="L54" s="326">
        <f>K54*係数!$I$30</f>
        <v>0</v>
      </c>
      <c r="M54" s="326">
        <f>K54*係数!$C$30*0.0000258</f>
        <v>0</v>
      </c>
      <c r="N54" s="10"/>
      <c r="O54" s="3"/>
      <c r="P54" s="483"/>
      <c r="Q54" s="51" t="s">
        <v>341</v>
      </c>
      <c r="R54" s="3"/>
      <c r="S54" s="329">
        <f t="shared" si="7"/>
        <v>0</v>
      </c>
      <c r="T54" s="327">
        <f t="shared" si="5"/>
        <v>0</v>
      </c>
      <c r="U54" s="326">
        <f>T54*係数!$I$30</f>
        <v>0</v>
      </c>
      <c r="V54" s="326">
        <f>T54*係数!$C$30*0.0000258</f>
        <v>0</v>
      </c>
      <c r="W54" s="282">
        <f t="shared" si="1"/>
        <v>0</v>
      </c>
      <c r="X54" s="337">
        <f t="shared" si="2"/>
        <v>0</v>
      </c>
      <c r="Y54" s="244">
        <f t="shared" si="3"/>
        <v>0</v>
      </c>
    </row>
    <row r="55" spans="2:25">
      <c r="B55" s="59" t="s">
        <v>76</v>
      </c>
      <c r="C55" s="10"/>
      <c r="D55" s="3"/>
      <c r="E55" s="483"/>
      <c r="F55" s="35"/>
      <c r="G55" s="35"/>
      <c r="H55" s="51" t="s">
        <v>341</v>
      </c>
      <c r="I55" s="3"/>
      <c r="J55" s="331">
        <f t="shared" si="6"/>
        <v>0</v>
      </c>
      <c r="K55" s="331">
        <f t="shared" si="4"/>
        <v>0</v>
      </c>
      <c r="L55" s="326">
        <f>K55*係数!$I$30</f>
        <v>0</v>
      </c>
      <c r="M55" s="326">
        <f>K55*係数!$C$30*0.0000258</f>
        <v>0</v>
      </c>
      <c r="N55" s="10"/>
      <c r="O55" s="3"/>
      <c r="P55" s="483"/>
      <c r="Q55" s="51" t="s">
        <v>341</v>
      </c>
      <c r="R55" s="3"/>
      <c r="S55" s="329">
        <f t="shared" si="7"/>
        <v>0</v>
      </c>
      <c r="T55" s="327">
        <f t="shared" si="5"/>
        <v>0</v>
      </c>
      <c r="U55" s="326">
        <f>T55*係数!$I$30</f>
        <v>0</v>
      </c>
      <c r="V55" s="326">
        <f>T55*係数!$C$30*0.0000258</f>
        <v>0</v>
      </c>
      <c r="W55" s="282">
        <f t="shared" si="1"/>
        <v>0</v>
      </c>
      <c r="X55" s="337">
        <f t="shared" si="2"/>
        <v>0</v>
      </c>
      <c r="Y55" s="244">
        <f t="shared" si="3"/>
        <v>0</v>
      </c>
    </row>
    <row r="56" spans="2:25">
      <c r="B56" s="59" t="s">
        <v>77</v>
      </c>
      <c r="C56" s="10"/>
      <c r="D56" s="3"/>
      <c r="E56" s="483"/>
      <c r="F56" s="35"/>
      <c r="G56" s="35"/>
      <c r="H56" s="51" t="s">
        <v>341</v>
      </c>
      <c r="I56" s="3"/>
      <c r="J56" s="331">
        <f t="shared" si="6"/>
        <v>0</v>
      </c>
      <c r="K56" s="331">
        <f t="shared" si="4"/>
        <v>0</v>
      </c>
      <c r="L56" s="326">
        <f>K56*係数!$I$30</f>
        <v>0</v>
      </c>
      <c r="M56" s="326">
        <f>K56*係数!$C$30*0.0000258</f>
        <v>0</v>
      </c>
      <c r="N56" s="10"/>
      <c r="O56" s="3"/>
      <c r="P56" s="483"/>
      <c r="Q56" s="51" t="s">
        <v>341</v>
      </c>
      <c r="R56" s="3"/>
      <c r="S56" s="329">
        <f t="shared" si="7"/>
        <v>0</v>
      </c>
      <c r="T56" s="327">
        <f t="shared" si="5"/>
        <v>0</v>
      </c>
      <c r="U56" s="326">
        <f>T56*係数!$I$30</f>
        <v>0</v>
      </c>
      <c r="V56" s="326">
        <f>T56*係数!$C$30*0.0000258</f>
        <v>0</v>
      </c>
      <c r="W56" s="282">
        <f t="shared" si="1"/>
        <v>0</v>
      </c>
      <c r="X56" s="337">
        <f t="shared" si="2"/>
        <v>0</v>
      </c>
      <c r="Y56" s="244">
        <f t="shared" si="3"/>
        <v>0</v>
      </c>
    </row>
    <row r="57" spans="2:25">
      <c r="B57" s="59" t="s">
        <v>78</v>
      </c>
      <c r="C57" s="10"/>
      <c r="D57" s="3"/>
      <c r="E57" s="483"/>
      <c r="F57" s="35"/>
      <c r="G57" s="35"/>
      <c r="H57" s="51" t="s">
        <v>341</v>
      </c>
      <c r="I57" s="3"/>
      <c r="J57" s="331">
        <f t="shared" si="6"/>
        <v>0</v>
      </c>
      <c r="K57" s="331">
        <f t="shared" si="4"/>
        <v>0</v>
      </c>
      <c r="L57" s="326">
        <f>K57*係数!$I$30</f>
        <v>0</v>
      </c>
      <c r="M57" s="326">
        <f>K57*係数!$C$30*0.0000258</f>
        <v>0</v>
      </c>
      <c r="N57" s="10"/>
      <c r="O57" s="3"/>
      <c r="P57" s="483"/>
      <c r="Q57" s="51" t="s">
        <v>341</v>
      </c>
      <c r="R57" s="3"/>
      <c r="S57" s="329">
        <f t="shared" si="7"/>
        <v>0</v>
      </c>
      <c r="T57" s="327">
        <f t="shared" si="5"/>
        <v>0</v>
      </c>
      <c r="U57" s="326">
        <f>T57*係数!$I$30</f>
        <v>0</v>
      </c>
      <c r="V57" s="326">
        <f>T57*係数!$C$30*0.0000258</f>
        <v>0</v>
      </c>
      <c r="W57" s="282">
        <f t="shared" si="1"/>
        <v>0</v>
      </c>
      <c r="X57" s="337">
        <f t="shared" si="2"/>
        <v>0</v>
      </c>
      <c r="Y57" s="244">
        <f t="shared" si="3"/>
        <v>0</v>
      </c>
    </row>
    <row r="58" spans="2:25">
      <c r="B58" s="59" t="s">
        <v>79</v>
      </c>
      <c r="C58" s="10"/>
      <c r="D58" s="3"/>
      <c r="E58" s="483"/>
      <c r="F58" s="35"/>
      <c r="G58" s="35"/>
      <c r="H58" s="51" t="s">
        <v>341</v>
      </c>
      <c r="I58" s="3"/>
      <c r="J58" s="331">
        <f t="shared" si="6"/>
        <v>0</v>
      </c>
      <c r="K58" s="331">
        <f t="shared" si="4"/>
        <v>0</v>
      </c>
      <c r="L58" s="326">
        <f>K58*係数!$I$30</f>
        <v>0</v>
      </c>
      <c r="M58" s="326">
        <f>K58*係数!$C$30*0.0000258</f>
        <v>0</v>
      </c>
      <c r="N58" s="10"/>
      <c r="O58" s="3"/>
      <c r="P58" s="483"/>
      <c r="Q58" s="51" t="s">
        <v>341</v>
      </c>
      <c r="R58" s="3"/>
      <c r="S58" s="329">
        <f t="shared" si="7"/>
        <v>0</v>
      </c>
      <c r="T58" s="327">
        <f t="shared" si="5"/>
        <v>0</v>
      </c>
      <c r="U58" s="326">
        <f>T58*係数!$I$30</f>
        <v>0</v>
      </c>
      <c r="V58" s="326">
        <f>T58*係数!$C$30*0.0000258</f>
        <v>0</v>
      </c>
      <c r="W58" s="282">
        <f t="shared" si="1"/>
        <v>0</v>
      </c>
      <c r="X58" s="337">
        <f t="shared" si="2"/>
        <v>0</v>
      </c>
      <c r="Y58" s="244">
        <f t="shared" si="3"/>
        <v>0</v>
      </c>
    </row>
    <row r="59" spans="2:25">
      <c r="B59" s="59" t="s">
        <v>80</v>
      </c>
      <c r="C59" s="10"/>
      <c r="D59" s="3"/>
      <c r="E59" s="483"/>
      <c r="F59" s="35"/>
      <c r="G59" s="35"/>
      <c r="H59" s="51" t="s">
        <v>341</v>
      </c>
      <c r="I59" s="3"/>
      <c r="J59" s="331">
        <f t="shared" si="6"/>
        <v>0</v>
      </c>
      <c r="K59" s="331">
        <f t="shared" si="4"/>
        <v>0</v>
      </c>
      <c r="L59" s="326">
        <f>K59*係数!$I$30</f>
        <v>0</v>
      </c>
      <c r="M59" s="326">
        <f>K59*係数!$C$30*0.0000258</f>
        <v>0</v>
      </c>
      <c r="N59" s="10"/>
      <c r="O59" s="3"/>
      <c r="P59" s="483"/>
      <c r="Q59" s="51" t="s">
        <v>341</v>
      </c>
      <c r="R59" s="3"/>
      <c r="S59" s="329">
        <f t="shared" si="7"/>
        <v>0</v>
      </c>
      <c r="T59" s="327">
        <f t="shared" si="5"/>
        <v>0</v>
      </c>
      <c r="U59" s="326">
        <f>T59*係数!$I$30</f>
        <v>0</v>
      </c>
      <c r="V59" s="326">
        <f>T59*係数!$C$30*0.0000258</f>
        <v>0</v>
      </c>
      <c r="W59" s="282">
        <f t="shared" si="1"/>
        <v>0</v>
      </c>
      <c r="X59" s="337">
        <f t="shared" si="2"/>
        <v>0</v>
      </c>
      <c r="Y59" s="244">
        <f t="shared" si="3"/>
        <v>0</v>
      </c>
    </row>
    <row r="60" spans="2:25">
      <c r="B60" s="59" t="s">
        <v>81</v>
      </c>
      <c r="C60" s="10"/>
      <c r="D60" s="3"/>
      <c r="E60" s="483"/>
      <c r="F60" s="35"/>
      <c r="G60" s="35"/>
      <c r="H60" s="51" t="s">
        <v>341</v>
      </c>
      <c r="I60" s="3"/>
      <c r="J60" s="331">
        <f t="shared" si="6"/>
        <v>0</v>
      </c>
      <c r="K60" s="331">
        <f t="shared" si="4"/>
        <v>0</v>
      </c>
      <c r="L60" s="326">
        <f>K60*係数!$I$30</f>
        <v>0</v>
      </c>
      <c r="M60" s="326">
        <f>K60*係数!$C$30*0.0000258</f>
        <v>0</v>
      </c>
      <c r="N60" s="10"/>
      <c r="O60" s="3"/>
      <c r="P60" s="483"/>
      <c r="Q60" s="51" t="s">
        <v>341</v>
      </c>
      <c r="R60" s="3"/>
      <c r="S60" s="329">
        <f t="shared" si="7"/>
        <v>0</v>
      </c>
      <c r="T60" s="327">
        <f t="shared" si="5"/>
        <v>0</v>
      </c>
      <c r="U60" s="326">
        <f>T60*係数!$I$30</f>
        <v>0</v>
      </c>
      <c r="V60" s="326">
        <f>T60*係数!$C$30*0.0000258</f>
        <v>0</v>
      </c>
      <c r="W60" s="282">
        <f t="shared" si="1"/>
        <v>0</v>
      </c>
      <c r="X60" s="337">
        <f t="shared" si="2"/>
        <v>0</v>
      </c>
      <c r="Y60" s="244">
        <f t="shared" si="3"/>
        <v>0</v>
      </c>
    </row>
    <row r="61" spans="2:25">
      <c r="B61" s="59" t="s">
        <v>82</v>
      </c>
      <c r="C61" s="10"/>
      <c r="D61" s="3"/>
      <c r="E61" s="483"/>
      <c r="F61" s="35"/>
      <c r="G61" s="35"/>
      <c r="H61" s="51" t="s">
        <v>341</v>
      </c>
      <c r="I61" s="3"/>
      <c r="J61" s="331">
        <f t="shared" si="6"/>
        <v>0</v>
      </c>
      <c r="K61" s="331">
        <f t="shared" si="4"/>
        <v>0</v>
      </c>
      <c r="L61" s="326">
        <f>K61*係数!$I$30</f>
        <v>0</v>
      </c>
      <c r="M61" s="326">
        <f>K61*係数!$C$30*0.0000258</f>
        <v>0</v>
      </c>
      <c r="N61" s="10"/>
      <c r="O61" s="3"/>
      <c r="P61" s="483"/>
      <c r="Q61" s="51" t="s">
        <v>341</v>
      </c>
      <c r="R61" s="3"/>
      <c r="S61" s="329">
        <f t="shared" si="7"/>
        <v>0</v>
      </c>
      <c r="T61" s="327">
        <f t="shared" si="5"/>
        <v>0</v>
      </c>
      <c r="U61" s="326">
        <f>T61*係数!$I$30</f>
        <v>0</v>
      </c>
      <c r="V61" s="326">
        <f>T61*係数!$C$30*0.0000258</f>
        <v>0</v>
      </c>
      <c r="W61" s="282">
        <f t="shared" si="1"/>
        <v>0</v>
      </c>
      <c r="X61" s="337">
        <f t="shared" si="2"/>
        <v>0</v>
      </c>
      <c r="Y61" s="244">
        <f t="shared" si="3"/>
        <v>0</v>
      </c>
    </row>
    <row r="62" spans="2:25">
      <c r="B62" s="59" t="s">
        <v>83</v>
      </c>
      <c r="C62" s="10"/>
      <c r="D62" s="3"/>
      <c r="E62" s="483"/>
      <c r="F62" s="35"/>
      <c r="G62" s="35"/>
      <c r="H62" s="51" t="s">
        <v>341</v>
      </c>
      <c r="I62" s="3"/>
      <c r="J62" s="331">
        <f t="shared" si="6"/>
        <v>0</v>
      </c>
      <c r="K62" s="331">
        <f t="shared" si="4"/>
        <v>0</v>
      </c>
      <c r="L62" s="326">
        <f>K62*係数!$I$30</f>
        <v>0</v>
      </c>
      <c r="M62" s="326">
        <f>K62*係数!$C$30*0.0000258</f>
        <v>0</v>
      </c>
      <c r="N62" s="10"/>
      <c r="O62" s="3"/>
      <c r="P62" s="483"/>
      <c r="Q62" s="51" t="s">
        <v>341</v>
      </c>
      <c r="R62" s="3"/>
      <c r="S62" s="329">
        <f t="shared" si="7"/>
        <v>0</v>
      </c>
      <c r="T62" s="327">
        <f t="shared" si="5"/>
        <v>0</v>
      </c>
      <c r="U62" s="326">
        <f>T62*係数!$I$30</f>
        <v>0</v>
      </c>
      <c r="V62" s="326">
        <f>T62*係数!$C$30*0.0000258</f>
        <v>0</v>
      </c>
      <c r="W62" s="282">
        <f t="shared" si="1"/>
        <v>0</v>
      </c>
      <c r="X62" s="337">
        <f t="shared" si="2"/>
        <v>0</v>
      </c>
      <c r="Y62" s="244">
        <f t="shared" si="3"/>
        <v>0</v>
      </c>
    </row>
    <row r="63" spans="2:25">
      <c r="B63" s="59" t="s">
        <v>84</v>
      </c>
      <c r="C63" s="10"/>
      <c r="D63" s="3"/>
      <c r="E63" s="483"/>
      <c r="F63" s="35"/>
      <c r="G63" s="35"/>
      <c r="H63" s="51" t="s">
        <v>341</v>
      </c>
      <c r="I63" s="3"/>
      <c r="J63" s="331">
        <f t="shared" si="6"/>
        <v>0</v>
      </c>
      <c r="K63" s="331">
        <f t="shared" si="4"/>
        <v>0</v>
      </c>
      <c r="L63" s="326">
        <f>K63*係数!$I$30</f>
        <v>0</v>
      </c>
      <c r="M63" s="326">
        <f>K63*係数!$C$30*0.0000258</f>
        <v>0</v>
      </c>
      <c r="N63" s="10"/>
      <c r="O63" s="3"/>
      <c r="P63" s="483"/>
      <c r="Q63" s="51" t="s">
        <v>341</v>
      </c>
      <c r="R63" s="3"/>
      <c r="S63" s="329">
        <f t="shared" si="7"/>
        <v>0</v>
      </c>
      <c r="T63" s="327">
        <f t="shared" si="5"/>
        <v>0</v>
      </c>
      <c r="U63" s="326">
        <f>T63*係数!$I$30</f>
        <v>0</v>
      </c>
      <c r="V63" s="326">
        <f>T63*係数!$C$30*0.0000258</f>
        <v>0</v>
      </c>
      <c r="W63" s="282">
        <f t="shared" si="1"/>
        <v>0</v>
      </c>
      <c r="X63" s="337">
        <f t="shared" si="2"/>
        <v>0</v>
      </c>
      <c r="Y63" s="244">
        <f t="shared" si="3"/>
        <v>0</v>
      </c>
    </row>
    <row r="64" spans="2:25">
      <c r="B64" s="59" t="s">
        <v>85</v>
      </c>
      <c r="C64" s="10"/>
      <c r="D64" s="3"/>
      <c r="E64" s="483"/>
      <c r="F64" s="35"/>
      <c r="G64" s="35"/>
      <c r="H64" s="51" t="s">
        <v>341</v>
      </c>
      <c r="I64" s="3"/>
      <c r="J64" s="331">
        <f t="shared" si="6"/>
        <v>0</v>
      </c>
      <c r="K64" s="331">
        <f t="shared" si="4"/>
        <v>0</v>
      </c>
      <c r="L64" s="326">
        <f>K64*係数!$I$30</f>
        <v>0</v>
      </c>
      <c r="M64" s="326">
        <f>K64*係数!$C$30*0.0000258</f>
        <v>0</v>
      </c>
      <c r="N64" s="10"/>
      <c r="O64" s="3"/>
      <c r="P64" s="483"/>
      <c r="Q64" s="51" t="s">
        <v>341</v>
      </c>
      <c r="R64" s="3"/>
      <c r="S64" s="329">
        <f t="shared" si="7"/>
        <v>0</v>
      </c>
      <c r="T64" s="327">
        <f t="shared" si="5"/>
        <v>0</v>
      </c>
      <c r="U64" s="326">
        <f>T64*係数!$I$30</f>
        <v>0</v>
      </c>
      <c r="V64" s="326">
        <f>T64*係数!$C$30*0.0000258</f>
        <v>0</v>
      </c>
      <c r="W64" s="282">
        <f t="shared" si="1"/>
        <v>0</v>
      </c>
      <c r="X64" s="337">
        <f t="shared" si="2"/>
        <v>0</v>
      </c>
      <c r="Y64" s="244">
        <f t="shared" si="3"/>
        <v>0</v>
      </c>
    </row>
    <row r="65" spans="2:25">
      <c r="B65" s="59" t="s">
        <v>86</v>
      </c>
      <c r="C65" s="10"/>
      <c r="D65" s="3"/>
      <c r="E65" s="483"/>
      <c r="F65" s="35"/>
      <c r="G65" s="35"/>
      <c r="H65" s="51" t="s">
        <v>341</v>
      </c>
      <c r="I65" s="3"/>
      <c r="J65" s="331">
        <f t="shared" si="6"/>
        <v>0</v>
      </c>
      <c r="K65" s="331">
        <f t="shared" si="4"/>
        <v>0</v>
      </c>
      <c r="L65" s="326">
        <f>K65*係数!$I$30</f>
        <v>0</v>
      </c>
      <c r="M65" s="326">
        <f>K65*係数!$C$30*0.0000258</f>
        <v>0</v>
      </c>
      <c r="N65" s="10"/>
      <c r="O65" s="3"/>
      <c r="P65" s="483"/>
      <c r="Q65" s="51" t="s">
        <v>341</v>
      </c>
      <c r="R65" s="3"/>
      <c r="S65" s="329">
        <f t="shared" si="7"/>
        <v>0</v>
      </c>
      <c r="T65" s="327">
        <f t="shared" si="5"/>
        <v>0</v>
      </c>
      <c r="U65" s="326">
        <f>T65*係数!$I$30</f>
        <v>0</v>
      </c>
      <c r="V65" s="326">
        <f>T65*係数!$C$30*0.0000258</f>
        <v>0</v>
      </c>
      <c r="W65" s="282">
        <f t="shared" si="1"/>
        <v>0</v>
      </c>
      <c r="X65" s="337">
        <f t="shared" si="2"/>
        <v>0</v>
      </c>
      <c r="Y65" s="244">
        <f t="shared" si="3"/>
        <v>0</v>
      </c>
    </row>
    <row r="66" spans="2:25">
      <c r="B66" s="59" t="s">
        <v>87</v>
      </c>
      <c r="C66" s="10"/>
      <c r="D66" s="3"/>
      <c r="E66" s="483"/>
      <c r="F66" s="35"/>
      <c r="G66" s="35"/>
      <c r="H66" s="51" t="s">
        <v>341</v>
      </c>
      <c r="I66" s="3"/>
      <c r="J66" s="331">
        <f t="shared" si="6"/>
        <v>0</v>
      </c>
      <c r="K66" s="331">
        <f t="shared" si="4"/>
        <v>0</v>
      </c>
      <c r="L66" s="326">
        <f>K66*係数!$I$30</f>
        <v>0</v>
      </c>
      <c r="M66" s="326">
        <f>K66*係数!$C$30*0.0000258</f>
        <v>0</v>
      </c>
      <c r="N66" s="10"/>
      <c r="O66" s="3"/>
      <c r="P66" s="483"/>
      <c r="Q66" s="51" t="s">
        <v>341</v>
      </c>
      <c r="R66" s="3"/>
      <c r="S66" s="329">
        <f t="shared" si="7"/>
        <v>0</v>
      </c>
      <c r="T66" s="327">
        <f t="shared" si="5"/>
        <v>0</v>
      </c>
      <c r="U66" s="326">
        <f>T66*係数!$I$30</f>
        <v>0</v>
      </c>
      <c r="V66" s="326">
        <f>T66*係数!$C$30*0.0000258</f>
        <v>0</v>
      </c>
      <c r="W66" s="282">
        <f t="shared" si="1"/>
        <v>0</v>
      </c>
      <c r="X66" s="337">
        <f t="shared" si="2"/>
        <v>0</v>
      </c>
      <c r="Y66" s="244">
        <f t="shared" si="3"/>
        <v>0</v>
      </c>
    </row>
    <row r="67" spans="2:25">
      <c r="B67" s="59" t="s">
        <v>88</v>
      </c>
      <c r="C67" s="10"/>
      <c r="D67" s="3"/>
      <c r="E67" s="483"/>
      <c r="F67" s="35"/>
      <c r="G67" s="35"/>
      <c r="H67" s="51" t="s">
        <v>341</v>
      </c>
      <c r="I67" s="3"/>
      <c r="J67" s="331">
        <f t="shared" si="6"/>
        <v>0</v>
      </c>
      <c r="K67" s="331">
        <f t="shared" si="4"/>
        <v>0</v>
      </c>
      <c r="L67" s="326">
        <f>K67*係数!$I$30</f>
        <v>0</v>
      </c>
      <c r="M67" s="326">
        <f>K67*係数!$C$30*0.0000258</f>
        <v>0</v>
      </c>
      <c r="N67" s="10"/>
      <c r="O67" s="3"/>
      <c r="P67" s="483"/>
      <c r="Q67" s="51" t="s">
        <v>341</v>
      </c>
      <c r="R67" s="3"/>
      <c r="S67" s="329">
        <f t="shared" si="7"/>
        <v>0</v>
      </c>
      <c r="T67" s="327">
        <f t="shared" si="5"/>
        <v>0</v>
      </c>
      <c r="U67" s="326">
        <f>T67*係数!$I$30</f>
        <v>0</v>
      </c>
      <c r="V67" s="326">
        <f>T67*係数!$C$30*0.0000258</f>
        <v>0</v>
      </c>
      <c r="W67" s="282">
        <f t="shared" si="1"/>
        <v>0</v>
      </c>
      <c r="X67" s="337">
        <f t="shared" si="2"/>
        <v>0</v>
      </c>
      <c r="Y67" s="244">
        <f t="shared" si="3"/>
        <v>0</v>
      </c>
    </row>
    <row r="68" spans="2:25">
      <c r="B68" s="59" t="s">
        <v>89</v>
      </c>
      <c r="C68" s="10"/>
      <c r="D68" s="3"/>
      <c r="E68" s="483"/>
      <c r="F68" s="35"/>
      <c r="G68" s="35"/>
      <c r="H68" s="51" t="s">
        <v>341</v>
      </c>
      <c r="I68" s="3"/>
      <c r="J68" s="331">
        <f t="shared" si="6"/>
        <v>0</v>
      </c>
      <c r="K68" s="331">
        <f t="shared" si="4"/>
        <v>0</v>
      </c>
      <c r="L68" s="326">
        <f>K68*係数!$I$30</f>
        <v>0</v>
      </c>
      <c r="M68" s="326">
        <f>K68*係数!$C$30*0.0000258</f>
        <v>0</v>
      </c>
      <c r="N68" s="10"/>
      <c r="O68" s="3"/>
      <c r="P68" s="483"/>
      <c r="Q68" s="51" t="s">
        <v>341</v>
      </c>
      <c r="R68" s="3"/>
      <c r="S68" s="329">
        <f t="shared" si="7"/>
        <v>0</v>
      </c>
      <c r="T68" s="327">
        <f t="shared" si="5"/>
        <v>0</v>
      </c>
      <c r="U68" s="326">
        <f>T68*係数!$I$30</f>
        <v>0</v>
      </c>
      <c r="V68" s="326">
        <f>T68*係数!$C$30*0.0000258</f>
        <v>0</v>
      </c>
      <c r="W68" s="282">
        <f t="shared" si="1"/>
        <v>0</v>
      </c>
      <c r="X68" s="337">
        <f t="shared" si="2"/>
        <v>0</v>
      </c>
      <c r="Y68" s="244">
        <f t="shared" si="3"/>
        <v>0</v>
      </c>
    </row>
    <row r="69" spans="2:25">
      <c r="B69" s="59" t="s">
        <v>90</v>
      </c>
      <c r="C69" s="10"/>
      <c r="D69" s="3"/>
      <c r="E69" s="483"/>
      <c r="F69" s="35"/>
      <c r="G69" s="35"/>
      <c r="H69" s="51" t="s">
        <v>341</v>
      </c>
      <c r="I69" s="3"/>
      <c r="J69" s="331">
        <f t="shared" si="6"/>
        <v>0</v>
      </c>
      <c r="K69" s="331">
        <f t="shared" si="4"/>
        <v>0</v>
      </c>
      <c r="L69" s="326">
        <f>K69*係数!$I$30</f>
        <v>0</v>
      </c>
      <c r="M69" s="326">
        <f>K69*係数!$C$30*0.0000258</f>
        <v>0</v>
      </c>
      <c r="N69" s="10"/>
      <c r="O69" s="3"/>
      <c r="P69" s="483"/>
      <c r="Q69" s="51" t="s">
        <v>341</v>
      </c>
      <c r="R69" s="3"/>
      <c r="S69" s="329">
        <f t="shared" si="7"/>
        <v>0</v>
      </c>
      <c r="T69" s="327">
        <f t="shared" si="5"/>
        <v>0</v>
      </c>
      <c r="U69" s="326">
        <f>T69*係数!$I$30</f>
        <v>0</v>
      </c>
      <c r="V69" s="326">
        <f>T69*係数!$C$30*0.0000258</f>
        <v>0</v>
      </c>
      <c r="W69" s="282">
        <f t="shared" si="1"/>
        <v>0</v>
      </c>
      <c r="X69" s="337">
        <f t="shared" si="2"/>
        <v>0</v>
      </c>
      <c r="Y69" s="244">
        <f t="shared" si="3"/>
        <v>0</v>
      </c>
    </row>
    <row r="70" spans="2:25">
      <c r="B70" s="59" t="s">
        <v>91</v>
      </c>
      <c r="C70" s="10"/>
      <c r="D70" s="3"/>
      <c r="E70" s="483"/>
      <c r="F70" s="35"/>
      <c r="G70" s="35"/>
      <c r="H70" s="51" t="s">
        <v>341</v>
      </c>
      <c r="I70" s="3"/>
      <c r="J70" s="331">
        <f t="shared" si="6"/>
        <v>0</v>
      </c>
      <c r="K70" s="331">
        <f t="shared" si="4"/>
        <v>0</v>
      </c>
      <c r="L70" s="326">
        <f>K70*係数!$I$30</f>
        <v>0</v>
      </c>
      <c r="M70" s="326">
        <f>K70*係数!$C$30*0.0000258</f>
        <v>0</v>
      </c>
      <c r="N70" s="10"/>
      <c r="O70" s="3"/>
      <c r="P70" s="483"/>
      <c r="Q70" s="51" t="s">
        <v>341</v>
      </c>
      <c r="R70" s="3"/>
      <c r="S70" s="329">
        <f t="shared" si="7"/>
        <v>0</v>
      </c>
      <c r="T70" s="327">
        <f t="shared" si="5"/>
        <v>0</v>
      </c>
      <c r="U70" s="326">
        <f>T70*係数!$I$30</f>
        <v>0</v>
      </c>
      <c r="V70" s="326">
        <f>T70*係数!$C$30*0.0000258</f>
        <v>0</v>
      </c>
      <c r="W70" s="282">
        <f t="shared" si="1"/>
        <v>0</v>
      </c>
      <c r="X70" s="337">
        <f t="shared" si="2"/>
        <v>0</v>
      </c>
      <c r="Y70" s="244">
        <f t="shared" si="3"/>
        <v>0</v>
      </c>
    </row>
    <row r="71" spans="2:25">
      <c r="B71" s="59" t="s">
        <v>350</v>
      </c>
      <c r="C71" s="10"/>
      <c r="D71" s="3"/>
      <c r="E71" s="483"/>
      <c r="F71" s="35"/>
      <c r="G71" s="35"/>
      <c r="H71" s="51" t="s">
        <v>341</v>
      </c>
      <c r="I71" s="3"/>
      <c r="J71" s="331">
        <f t="shared" si="6"/>
        <v>0</v>
      </c>
      <c r="K71" s="331">
        <f t="shared" si="4"/>
        <v>0</v>
      </c>
      <c r="L71" s="326">
        <f>K71*係数!$I$30</f>
        <v>0</v>
      </c>
      <c r="M71" s="326">
        <f>K71*係数!$C$30*0.0000258</f>
        <v>0</v>
      </c>
      <c r="N71" s="10"/>
      <c r="O71" s="3"/>
      <c r="P71" s="483"/>
      <c r="Q71" s="51" t="s">
        <v>341</v>
      </c>
      <c r="R71" s="3"/>
      <c r="S71" s="329">
        <f t="shared" si="7"/>
        <v>0</v>
      </c>
      <c r="T71" s="327">
        <f t="shared" si="5"/>
        <v>0</v>
      </c>
      <c r="U71" s="326">
        <f>T71*係数!$I$30</f>
        <v>0</v>
      </c>
      <c r="V71" s="326">
        <f>T71*係数!$C$30*0.0000258</f>
        <v>0</v>
      </c>
      <c r="W71" s="282">
        <f t="shared" si="1"/>
        <v>0</v>
      </c>
      <c r="X71" s="337">
        <f t="shared" si="2"/>
        <v>0</v>
      </c>
      <c r="Y71" s="244">
        <f t="shared" si="3"/>
        <v>0</v>
      </c>
    </row>
    <row r="72" spans="2:25">
      <c r="B72" s="59" t="s">
        <v>351</v>
      </c>
      <c r="C72" s="10"/>
      <c r="D72" s="3"/>
      <c r="E72" s="483"/>
      <c r="F72" s="35"/>
      <c r="G72" s="35"/>
      <c r="H72" s="51" t="s">
        <v>341</v>
      </c>
      <c r="I72" s="3"/>
      <c r="J72" s="331">
        <f t="shared" si="6"/>
        <v>0</v>
      </c>
      <c r="K72" s="331">
        <f t="shared" si="4"/>
        <v>0</v>
      </c>
      <c r="L72" s="326">
        <f>K72*係数!$I$30</f>
        <v>0</v>
      </c>
      <c r="M72" s="326">
        <f>K72*係数!$C$30*0.0000258</f>
        <v>0</v>
      </c>
      <c r="N72" s="10"/>
      <c r="O72" s="3"/>
      <c r="P72" s="483"/>
      <c r="Q72" s="51" t="s">
        <v>341</v>
      </c>
      <c r="R72" s="3"/>
      <c r="S72" s="329">
        <f t="shared" si="7"/>
        <v>0</v>
      </c>
      <c r="T72" s="327">
        <f t="shared" si="5"/>
        <v>0</v>
      </c>
      <c r="U72" s="326">
        <f>T72*係数!$I$30</f>
        <v>0</v>
      </c>
      <c r="V72" s="326">
        <f>T72*係数!$C$30*0.0000258</f>
        <v>0</v>
      </c>
      <c r="W72" s="282">
        <f t="shared" si="1"/>
        <v>0</v>
      </c>
      <c r="X72" s="337">
        <f t="shared" si="2"/>
        <v>0</v>
      </c>
      <c r="Y72" s="244">
        <f t="shared" si="3"/>
        <v>0</v>
      </c>
    </row>
    <row r="73" spans="2:25">
      <c r="B73" s="59" t="s">
        <v>352</v>
      </c>
      <c r="C73" s="10"/>
      <c r="D73" s="3"/>
      <c r="E73" s="483"/>
      <c r="F73" s="35"/>
      <c r="G73" s="35"/>
      <c r="H73" s="51" t="s">
        <v>341</v>
      </c>
      <c r="I73" s="3"/>
      <c r="J73" s="331">
        <f t="shared" si="6"/>
        <v>0</v>
      </c>
      <c r="K73" s="331">
        <f t="shared" si="4"/>
        <v>0</v>
      </c>
      <c r="L73" s="326">
        <f>K73*係数!$I$30</f>
        <v>0</v>
      </c>
      <c r="M73" s="326">
        <f>K73*係数!$C$30*0.0000258</f>
        <v>0</v>
      </c>
      <c r="N73" s="10"/>
      <c r="O73" s="3"/>
      <c r="P73" s="483"/>
      <c r="Q73" s="51" t="s">
        <v>341</v>
      </c>
      <c r="R73" s="3"/>
      <c r="S73" s="329">
        <f t="shared" si="7"/>
        <v>0</v>
      </c>
      <c r="T73" s="327">
        <f t="shared" si="5"/>
        <v>0</v>
      </c>
      <c r="U73" s="326">
        <f>T73*係数!$I$30</f>
        <v>0</v>
      </c>
      <c r="V73" s="326">
        <f>T73*係数!$C$30*0.0000258</f>
        <v>0</v>
      </c>
      <c r="W73" s="282">
        <f t="shared" si="1"/>
        <v>0</v>
      </c>
      <c r="X73" s="337">
        <f t="shared" si="2"/>
        <v>0</v>
      </c>
      <c r="Y73" s="244">
        <f t="shared" si="3"/>
        <v>0</v>
      </c>
    </row>
    <row r="74" spans="2:25">
      <c r="B74" s="59" t="s">
        <v>353</v>
      </c>
      <c r="C74" s="10"/>
      <c r="D74" s="3"/>
      <c r="E74" s="483"/>
      <c r="F74" s="35"/>
      <c r="G74" s="35"/>
      <c r="H74" s="51" t="s">
        <v>341</v>
      </c>
      <c r="I74" s="3"/>
      <c r="J74" s="331">
        <f t="shared" si="6"/>
        <v>0</v>
      </c>
      <c r="K74" s="331">
        <f t="shared" si="4"/>
        <v>0</v>
      </c>
      <c r="L74" s="326">
        <f>K74*係数!$I$30</f>
        <v>0</v>
      </c>
      <c r="M74" s="326">
        <f>K74*係数!$C$30*0.0000258</f>
        <v>0</v>
      </c>
      <c r="N74" s="10"/>
      <c r="O74" s="3"/>
      <c r="P74" s="483"/>
      <c r="Q74" s="51" t="s">
        <v>341</v>
      </c>
      <c r="R74" s="3"/>
      <c r="S74" s="329">
        <f t="shared" si="7"/>
        <v>0</v>
      </c>
      <c r="T74" s="327">
        <f t="shared" si="5"/>
        <v>0</v>
      </c>
      <c r="U74" s="326">
        <f>T74*係数!$I$30</f>
        <v>0</v>
      </c>
      <c r="V74" s="326">
        <f>T74*係数!$C$30*0.0000258</f>
        <v>0</v>
      </c>
      <c r="W74" s="282">
        <f t="shared" si="1"/>
        <v>0</v>
      </c>
      <c r="X74" s="337">
        <f t="shared" si="2"/>
        <v>0</v>
      </c>
      <c r="Y74" s="244">
        <f t="shared" si="3"/>
        <v>0</v>
      </c>
    </row>
    <row r="75" spans="2:25">
      <c r="B75" s="59" t="s">
        <v>354</v>
      </c>
      <c r="C75" s="10"/>
      <c r="D75" s="3"/>
      <c r="E75" s="483"/>
      <c r="F75" s="35"/>
      <c r="G75" s="35"/>
      <c r="H75" s="51" t="s">
        <v>341</v>
      </c>
      <c r="I75" s="3"/>
      <c r="J75" s="331">
        <f t="shared" si="6"/>
        <v>0</v>
      </c>
      <c r="K75" s="331">
        <f t="shared" si="4"/>
        <v>0</v>
      </c>
      <c r="L75" s="326">
        <f>K75*係数!$I$30</f>
        <v>0</v>
      </c>
      <c r="M75" s="326">
        <f>K75*係数!$C$30*0.0000258</f>
        <v>0</v>
      </c>
      <c r="N75" s="10"/>
      <c r="O75" s="3"/>
      <c r="P75" s="483"/>
      <c r="Q75" s="51" t="s">
        <v>341</v>
      </c>
      <c r="R75" s="3"/>
      <c r="S75" s="329">
        <f t="shared" si="7"/>
        <v>0</v>
      </c>
      <c r="T75" s="327">
        <f t="shared" si="5"/>
        <v>0</v>
      </c>
      <c r="U75" s="326">
        <f>T75*係数!$I$30</f>
        <v>0</v>
      </c>
      <c r="V75" s="326">
        <f>T75*係数!$C$30*0.0000258</f>
        <v>0</v>
      </c>
      <c r="W75" s="282">
        <f t="shared" si="1"/>
        <v>0</v>
      </c>
      <c r="X75" s="337">
        <f t="shared" si="2"/>
        <v>0</v>
      </c>
      <c r="Y75" s="244">
        <f t="shared" si="3"/>
        <v>0</v>
      </c>
    </row>
    <row r="76" spans="2:25">
      <c r="B76" s="59" t="s">
        <v>355</v>
      </c>
      <c r="C76" s="10"/>
      <c r="D76" s="3"/>
      <c r="E76" s="483"/>
      <c r="F76" s="35"/>
      <c r="G76" s="35"/>
      <c r="H76" s="51" t="s">
        <v>341</v>
      </c>
      <c r="I76" s="3"/>
      <c r="J76" s="331">
        <f t="shared" si="6"/>
        <v>0</v>
      </c>
      <c r="K76" s="331">
        <f t="shared" si="4"/>
        <v>0</v>
      </c>
      <c r="L76" s="326">
        <f>K76*係数!$I$30</f>
        <v>0</v>
      </c>
      <c r="M76" s="326">
        <f>K76*係数!$C$30*0.0000258</f>
        <v>0</v>
      </c>
      <c r="N76" s="10"/>
      <c r="O76" s="3"/>
      <c r="P76" s="483"/>
      <c r="Q76" s="51" t="s">
        <v>341</v>
      </c>
      <c r="R76" s="3"/>
      <c r="S76" s="329">
        <f t="shared" si="7"/>
        <v>0</v>
      </c>
      <c r="T76" s="327">
        <f t="shared" si="5"/>
        <v>0</v>
      </c>
      <c r="U76" s="326">
        <f>T76*係数!$I$30</f>
        <v>0</v>
      </c>
      <c r="V76" s="326">
        <f>T76*係数!$C$30*0.0000258</f>
        <v>0</v>
      </c>
      <c r="W76" s="282">
        <f t="shared" si="1"/>
        <v>0</v>
      </c>
      <c r="X76" s="337">
        <f t="shared" si="2"/>
        <v>0</v>
      </c>
      <c r="Y76" s="244">
        <f t="shared" si="3"/>
        <v>0</v>
      </c>
    </row>
    <row r="77" spans="2:25">
      <c r="B77" s="59" t="s">
        <v>356</v>
      </c>
      <c r="C77" s="10"/>
      <c r="D77" s="3"/>
      <c r="E77" s="483"/>
      <c r="F77" s="35"/>
      <c r="G77" s="35"/>
      <c r="H77" s="51" t="s">
        <v>341</v>
      </c>
      <c r="I77" s="3"/>
      <c r="J77" s="331">
        <f t="shared" si="6"/>
        <v>0</v>
      </c>
      <c r="K77" s="331">
        <f t="shared" si="4"/>
        <v>0</v>
      </c>
      <c r="L77" s="326">
        <f>K77*係数!$I$30</f>
        <v>0</v>
      </c>
      <c r="M77" s="326">
        <f>K77*係数!$C$30*0.0000258</f>
        <v>0</v>
      </c>
      <c r="N77" s="10"/>
      <c r="O77" s="3"/>
      <c r="P77" s="483"/>
      <c r="Q77" s="51" t="s">
        <v>341</v>
      </c>
      <c r="R77" s="3"/>
      <c r="S77" s="329">
        <f t="shared" si="7"/>
        <v>0</v>
      </c>
      <c r="T77" s="327">
        <f t="shared" si="5"/>
        <v>0</v>
      </c>
      <c r="U77" s="326">
        <f>T77*係数!$I$30</f>
        <v>0</v>
      </c>
      <c r="V77" s="326">
        <f>T77*係数!$C$30*0.0000258</f>
        <v>0</v>
      </c>
      <c r="W77" s="282">
        <f t="shared" si="1"/>
        <v>0</v>
      </c>
      <c r="X77" s="337">
        <f t="shared" si="2"/>
        <v>0</v>
      </c>
      <c r="Y77" s="244">
        <f t="shared" si="3"/>
        <v>0</v>
      </c>
    </row>
    <row r="78" spans="2:25">
      <c r="B78" s="59" t="s">
        <v>357</v>
      </c>
      <c r="C78" s="10"/>
      <c r="D78" s="3"/>
      <c r="E78" s="483"/>
      <c r="F78" s="35"/>
      <c r="G78" s="35"/>
      <c r="H78" s="51" t="s">
        <v>341</v>
      </c>
      <c r="I78" s="3"/>
      <c r="J78" s="331">
        <f t="shared" si="6"/>
        <v>0</v>
      </c>
      <c r="K78" s="331">
        <f t="shared" si="4"/>
        <v>0</v>
      </c>
      <c r="L78" s="326">
        <f>K78*係数!$I$30</f>
        <v>0</v>
      </c>
      <c r="M78" s="326">
        <f>K78*係数!$C$30*0.0000258</f>
        <v>0</v>
      </c>
      <c r="N78" s="10"/>
      <c r="O78" s="3"/>
      <c r="P78" s="483"/>
      <c r="Q78" s="51" t="s">
        <v>341</v>
      </c>
      <c r="R78" s="3"/>
      <c r="S78" s="329">
        <f t="shared" si="7"/>
        <v>0</v>
      </c>
      <c r="T78" s="327">
        <f t="shared" si="5"/>
        <v>0</v>
      </c>
      <c r="U78" s="326">
        <f>T78*係数!$I$30</f>
        <v>0</v>
      </c>
      <c r="V78" s="326">
        <f>T78*係数!$C$30*0.0000258</f>
        <v>0</v>
      </c>
      <c r="W78" s="282">
        <f t="shared" si="1"/>
        <v>0</v>
      </c>
      <c r="X78" s="337">
        <f t="shared" si="2"/>
        <v>0</v>
      </c>
      <c r="Y78" s="244">
        <f t="shared" si="3"/>
        <v>0</v>
      </c>
    </row>
    <row r="79" spans="2:25">
      <c r="B79" s="59" t="s">
        <v>358</v>
      </c>
      <c r="C79" s="10"/>
      <c r="D79" s="3"/>
      <c r="E79" s="483"/>
      <c r="F79" s="35"/>
      <c r="G79" s="35"/>
      <c r="H79" s="51" t="s">
        <v>341</v>
      </c>
      <c r="I79" s="3"/>
      <c r="J79" s="331">
        <f t="shared" si="6"/>
        <v>0</v>
      </c>
      <c r="K79" s="331">
        <f t="shared" si="4"/>
        <v>0</v>
      </c>
      <c r="L79" s="326">
        <f>K79*係数!$I$30</f>
        <v>0</v>
      </c>
      <c r="M79" s="326">
        <f>K79*係数!$C$30*0.0000258</f>
        <v>0</v>
      </c>
      <c r="N79" s="10"/>
      <c r="O79" s="3"/>
      <c r="P79" s="483"/>
      <c r="Q79" s="51" t="s">
        <v>341</v>
      </c>
      <c r="R79" s="3"/>
      <c r="S79" s="329">
        <f t="shared" si="7"/>
        <v>0</v>
      </c>
      <c r="T79" s="327">
        <f t="shared" si="5"/>
        <v>0</v>
      </c>
      <c r="U79" s="326">
        <f>T79*係数!$I$30</f>
        <v>0</v>
      </c>
      <c r="V79" s="326">
        <f>T79*係数!$C$30*0.0000258</f>
        <v>0</v>
      </c>
      <c r="W79" s="282">
        <f t="shared" si="1"/>
        <v>0</v>
      </c>
      <c r="X79" s="337">
        <f t="shared" si="2"/>
        <v>0</v>
      </c>
      <c r="Y79" s="244">
        <f t="shared" si="3"/>
        <v>0</v>
      </c>
    </row>
    <row r="80" spans="2:25">
      <c r="B80" s="59" t="s">
        <v>359</v>
      </c>
      <c r="C80" s="10"/>
      <c r="D80" s="3"/>
      <c r="E80" s="483"/>
      <c r="F80" s="35"/>
      <c r="G80" s="35"/>
      <c r="H80" s="51" t="s">
        <v>341</v>
      </c>
      <c r="I80" s="3"/>
      <c r="J80" s="331">
        <f t="shared" si="6"/>
        <v>0</v>
      </c>
      <c r="K80" s="331">
        <f t="shared" si="4"/>
        <v>0</v>
      </c>
      <c r="L80" s="326">
        <f>K80*係数!$I$30</f>
        <v>0</v>
      </c>
      <c r="M80" s="326">
        <f>K80*係数!$C$30*0.0000258</f>
        <v>0</v>
      </c>
      <c r="N80" s="10"/>
      <c r="O80" s="3"/>
      <c r="P80" s="483"/>
      <c r="Q80" s="51" t="s">
        <v>341</v>
      </c>
      <c r="R80" s="3"/>
      <c r="S80" s="329">
        <f t="shared" si="7"/>
        <v>0</v>
      </c>
      <c r="T80" s="327">
        <f t="shared" si="5"/>
        <v>0</v>
      </c>
      <c r="U80" s="326">
        <f>T80*係数!$I$30</f>
        <v>0</v>
      </c>
      <c r="V80" s="326">
        <f>T80*係数!$C$30*0.0000258</f>
        <v>0</v>
      </c>
      <c r="W80" s="282">
        <f t="shared" si="1"/>
        <v>0</v>
      </c>
      <c r="X80" s="337">
        <f t="shared" si="2"/>
        <v>0</v>
      </c>
      <c r="Y80" s="244">
        <f t="shared" si="3"/>
        <v>0</v>
      </c>
    </row>
    <row r="81" spans="2:25">
      <c r="B81" s="59" t="s">
        <v>360</v>
      </c>
      <c r="C81" s="10"/>
      <c r="D81" s="3"/>
      <c r="E81" s="483"/>
      <c r="F81" s="35"/>
      <c r="G81" s="35"/>
      <c r="H81" s="51" t="s">
        <v>341</v>
      </c>
      <c r="I81" s="3"/>
      <c r="J81" s="331">
        <f t="shared" si="6"/>
        <v>0</v>
      </c>
      <c r="K81" s="331">
        <f t="shared" si="4"/>
        <v>0</v>
      </c>
      <c r="L81" s="326">
        <f>K81*係数!$I$30</f>
        <v>0</v>
      </c>
      <c r="M81" s="326">
        <f>K81*係数!$C$30*0.0000258</f>
        <v>0</v>
      </c>
      <c r="N81" s="10"/>
      <c r="O81" s="3"/>
      <c r="P81" s="483"/>
      <c r="Q81" s="51" t="s">
        <v>341</v>
      </c>
      <c r="R81" s="3"/>
      <c r="S81" s="329">
        <f t="shared" si="7"/>
        <v>0</v>
      </c>
      <c r="T81" s="327">
        <f t="shared" si="5"/>
        <v>0</v>
      </c>
      <c r="U81" s="326">
        <f>T81*係数!$I$30</f>
        <v>0</v>
      </c>
      <c r="V81" s="326">
        <f>T81*係数!$C$30*0.0000258</f>
        <v>0</v>
      </c>
      <c r="W81" s="282">
        <f t="shared" si="1"/>
        <v>0</v>
      </c>
      <c r="X81" s="337">
        <f t="shared" si="2"/>
        <v>0</v>
      </c>
      <c r="Y81" s="244">
        <f t="shared" si="3"/>
        <v>0</v>
      </c>
    </row>
    <row r="82" spans="2:25">
      <c r="B82" s="59" t="s">
        <v>361</v>
      </c>
      <c r="C82" s="10"/>
      <c r="D82" s="3"/>
      <c r="E82" s="483"/>
      <c r="F82" s="35"/>
      <c r="G82" s="35"/>
      <c r="H82" s="51" t="s">
        <v>341</v>
      </c>
      <c r="I82" s="3"/>
      <c r="J82" s="331">
        <f t="shared" si="6"/>
        <v>0</v>
      </c>
      <c r="K82" s="331">
        <f t="shared" si="4"/>
        <v>0</v>
      </c>
      <c r="L82" s="326">
        <f>K82*係数!$I$30</f>
        <v>0</v>
      </c>
      <c r="M82" s="326">
        <f>K82*係数!$C$30*0.0000258</f>
        <v>0</v>
      </c>
      <c r="N82" s="10"/>
      <c r="O82" s="3"/>
      <c r="P82" s="483"/>
      <c r="Q82" s="51" t="s">
        <v>341</v>
      </c>
      <c r="R82" s="3"/>
      <c r="S82" s="329">
        <f t="shared" si="7"/>
        <v>0</v>
      </c>
      <c r="T82" s="327">
        <f t="shared" si="5"/>
        <v>0</v>
      </c>
      <c r="U82" s="326">
        <f>T82*係数!$I$30</f>
        <v>0</v>
      </c>
      <c r="V82" s="326">
        <f>T82*係数!$C$30*0.0000258</f>
        <v>0</v>
      </c>
      <c r="W82" s="282">
        <f t="shared" si="1"/>
        <v>0</v>
      </c>
      <c r="X82" s="337">
        <f t="shared" si="2"/>
        <v>0</v>
      </c>
      <c r="Y82" s="244">
        <f t="shared" si="3"/>
        <v>0</v>
      </c>
    </row>
    <row r="83" spans="2:25">
      <c r="B83" s="59" t="s">
        <v>362</v>
      </c>
      <c r="C83" s="10"/>
      <c r="D83" s="3"/>
      <c r="E83" s="483"/>
      <c r="F83" s="35"/>
      <c r="G83" s="35"/>
      <c r="H83" s="51" t="s">
        <v>341</v>
      </c>
      <c r="I83" s="3"/>
      <c r="J83" s="331">
        <f t="shared" si="6"/>
        <v>0</v>
      </c>
      <c r="K83" s="331">
        <f t="shared" si="4"/>
        <v>0</v>
      </c>
      <c r="L83" s="326">
        <f>K83*係数!$I$30</f>
        <v>0</v>
      </c>
      <c r="M83" s="326">
        <f>K83*係数!$C$30*0.0000258</f>
        <v>0</v>
      </c>
      <c r="N83" s="10"/>
      <c r="O83" s="3"/>
      <c r="P83" s="483"/>
      <c r="Q83" s="51" t="s">
        <v>341</v>
      </c>
      <c r="R83" s="3"/>
      <c r="S83" s="329">
        <f t="shared" si="7"/>
        <v>0</v>
      </c>
      <c r="T83" s="327">
        <f t="shared" si="5"/>
        <v>0</v>
      </c>
      <c r="U83" s="326">
        <f>T83*係数!$I$30</f>
        <v>0</v>
      </c>
      <c r="V83" s="326">
        <f>T83*係数!$C$30*0.0000258</f>
        <v>0</v>
      </c>
      <c r="W83" s="282">
        <f t="shared" si="1"/>
        <v>0</v>
      </c>
      <c r="X83" s="337">
        <f t="shared" si="2"/>
        <v>0</v>
      </c>
      <c r="Y83" s="244">
        <f t="shared" si="3"/>
        <v>0</v>
      </c>
    </row>
    <row r="84" spans="2:25">
      <c r="B84" s="59" t="s">
        <v>363</v>
      </c>
      <c r="C84" s="10"/>
      <c r="D84" s="3"/>
      <c r="E84" s="483"/>
      <c r="F84" s="35"/>
      <c r="G84" s="35"/>
      <c r="H84" s="51" t="s">
        <v>341</v>
      </c>
      <c r="I84" s="3"/>
      <c r="J84" s="331">
        <f t="shared" si="6"/>
        <v>0</v>
      </c>
      <c r="K84" s="331">
        <f t="shared" si="4"/>
        <v>0</v>
      </c>
      <c r="L84" s="326">
        <f>K84*係数!$I$30</f>
        <v>0</v>
      </c>
      <c r="M84" s="326">
        <f>K84*係数!$C$30*0.0000258</f>
        <v>0</v>
      </c>
      <c r="N84" s="10"/>
      <c r="O84" s="3"/>
      <c r="P84" s="483"/>
      <c r="Q84" s="51" t="s">
        <v>341</v>
      </c>
      <c r="R84" s="3"/>
      <c r="S84" s="329">
        <f t="shared" si="7"/>
        <v>0</v>
      </c>
      <c r="T84" s="327">
        <f t="shared" si="5"/>
        <v>0</v>
      </c>
      <c r="U84" s="326">
        <f>T84*係数!$I$30</f>
        <v>0</v>
      </c>
      <c r="V84" s="326">
        <f>T84*係数!$C$30*0.0000258</f>
        <v>0</v>
      </c>
      <c r="W84" s="282">
        <f t="shared" si="1"/>
        <v>0</v>
      </c>
      <c r="X84" s="337">
        <f t="shared" si="2"/>
        <v>0</v>
      </c>
      <c r="Y84" s="244">
        <f t="shared" si="3"/>
        <v>0</v>
      </c>
    </row>
    <row r="85" spans="2:25">
      <c r="B85" s="59" t="s">
        <v>364</v>
      </c>
      <c r="C85" s="10"/>
      <c r="D85" s="3"/>
      <c r="E85" s="483"/>
      <c r="F85" s="35"/>
      <c r="G85" s="35"/>
      <c r="H85" s="51" t="s">
        <v>341</v>
      </c>
      <c r="I85" s="3"/>
      <c r="J85" s="331">
        <f t="shared" si="6"/>
        <v>0</v>
      </c>
      <c r="K85" s="331">
        <f t="shared" ref="K85:K148" si="8">E85*D85*J85/1000</f>
        <v>0</v>
      </c>
      <c r="L85" s="326">
        <f>K85*係数!$I$30</f>
        <v>0</v>
      </c>
      <c r="M85" s="326">
        <f>K85*係数!$C$30*0.0000258</f>
        <v>0</v>
      </c>
      <c r="N85" s="10"/>
      <c r="O85" s="3"/>
      <c r="P85" s="483"/>
      <c r="Q85" s="51" t="s">
        <v>341</v>
      </c>
      <c r="R85" s="3"/>
      <c r="S85" s="329">
        <f t="shared" ref="S85:S148" si="9">IF(Q85="○",F85*G85*R85/100,F85*G85)</f>
        <v>0</v>
      </c>
      <c r="T85" s="327">
        <f t="shared" ref="T85:T148" si="10">P85*O85*S85/1000</f>
        <v>0</v>
      </c>
      <c r="U85" s="326">
        <f>T85*係数!$I$30</f>
        <v>0</v>
      </c>
      <c r="V85" s="326">
        <f>T85*係数!$C$30*0.0000258</f>
        <v>0</v>
      </c>
      <c r="W85" s="282">
        <f t="shared" ref="W85:W148" si="11">K85-T85</f>
        <v>0</v>
      </c>
      <c r="X85" s="337">
        <f t="shared" ref="X85:X148" si="12">L85-U85</f>
        <v>0</v>
      </c>
      <c r="Y85" s="244">
        <f t="shared" ref="Y85:Y148" si="13">M85-V85</f>
        <v>0</v>
      </c>
    </row>
    <row r="86" spans="2:25">
      <c r="B86" s="59" t="s">
        <v>365</v>
      </c>
      <c r="C86" s="10"/>
      <c r="D86" s="3"/>
      <c r="E86" s="483"/>
      <c r="F86" s="35"/>
      <c r="G86" s="35"/>
      <c r="H86" s="51" t="s">
        <v>341</v>
      </c>
      <c r="I86" s="3"/>
      <c r="J86" s="331">
        <f t="shared" ref="J86:J149" si="14">IF(H86="○",F86*G86*I86/100,F86*G86)</f>
        <v>0</v>
      </c>
      <c r="K86" s="331">
        <f t="shared" si="8"/>
        <v>0</v>
      </c>
      <c r="L86" s="326">
        <f>K86*係数!$I$30</f>
        <v>0</v>
      </c>
      <c r="M86" s="326">
        <f>K86*係数!$C$30*0.0000258</f>
        <v>0</v>
      </c>
      <c r="N86" s="10"/>
      <c r="O86" s="3"/>
      <c r="P86" s="483"/>
      <c r="Q86" s="51" t="s">
        <v>341</v>
      </c>
      <c r="R86" s="3"/>
      <c r="S86" s="329">
        <f t="shared" si="9"/>
        <v>0</v>
      </c>
      <c r="T86" s="327">
        <f t="shared" si="10"/>
        <v>0</v>
      </c>
      <c r="U86" s="326">
        <f>T86*係数!$I$30</f>
        <v>0</v>
      </c>
      <c r="V86" s="326">
        <f>T86*係数!$C$30*0.0000258</f>
        <v>0</v>
      </c>
      <c r="W86" s="282">
        <f t="shared" si="11"/>
        <v>0</v>
      </c>
      <c r="X86" s="337">
        <f t="shared" si="12"/>
        <v>0</v>
      </c>
      <c r="Y86" s="244">
        <f t="shared" si="13"/>
        <v>0</v>
      </c>
    </row>
    <row r="87" spans="2:25">
      <c r="B87" s="59" t="s">
        <v>366</v>
      </c>
      <c r="C87" s="10"/>
      <c r="D87" s="3"/>
      <c r="E87" s="483"/>
      <c r="F87" s="35"/>
      <c r="G87" s="35"/>
      <c r="H87" s="51" t="s">
        <v>341</v>
      </c>
      <c r="I87" s="3"/>
      <c r="J87" s="331">
        <f t="shared" si="14"/>
        <v>0</v>
      </c>
      <c r="K87" s="331">
        <f t="shared" si="8"/>
        <v>0</v>
      </c>
      <c r="L87" s="326">
        <f>K87*係数!$I$30</f>
        <v>0</v>
      </c>
      <c r="M87" s="326">
        <f>K87*係数!$C$30*0.0000258</f>
        <v>0</v>
      </c>
      <c r="N87" s="10"/>
      <c r="O87" s="3"/>
      <c r="P87" s="483"/>
      <c r="Q87" s="51" t="s">
        <v>341</v>
      </c>
      <c r="R87" s="3"/>
      <c r="S87" s="329">
        <f t="shared" si="9"/>
        <v>0</v>
      </c>
      <c r="T87" s="327">
        <f t="shared" si="10"/>
        <v>0</v>
      </c>
      <c r="U87" s="326">
        <f>T87*係数!$I$30</f>
        <v>0</v>
      </c>
      <c r="V87" s="326">
        <f>T87*係数!$C$30*0.0000258</f>
        <v>0</v>
      </c>
      <c r="W87" s="282">
        <f t="shared" si="11"/>
        <v>0</v>
      </c>
      <c r="X87" s="337">
        <f t="shared" si="12"/>
        <v>0</v>
      </c>
      <c r="Y87" s="244">
        <f t="shared" si="13"/>
        <v>0</v>
      </c>
    </row>
    <row r="88" spans="2:25">
      <c r="B88" s="59" t="s">
        <v>367</v>
      </c>
      <c r="C88" s="10"/>
      <c r="D88" s="3"/>
      <c r="E88" s="483"/>
      <c r="F88" s="35"/>
      <c r="G88" s="35"/>
      <c r="H88" s="51" t="s">
        <v>341</v>
      </c>
      <c r="I88" s="3"/>
      <c r="J88" s="331">
        <f t="shared" si="14"/>
        <v>0</v>
      </c>
      <c r="K88" s="331">
        <f t="shared" si="8"/>
        <v>0</v>
      </c>
      <c r="L88" s="326">
        <f>K88*係数!$I$30</f>
        <v>0</v>
      </c>
      <c r="M88" s="326">
        <f>K88*係数!$C$30*0.0000258</f>
        <v>0</v>
      </c>
      <c r="N88" s="10"/>
      <c r="O88" s="3"/>
      <c r="P88" s="483"/>
      <c r="Q88" s="51" t="s">
        <v>341</v>
      </c>
      <c r="R88" s="3"/>
      <c r="S88" s="329">
        <f t="shared" si="9"/>
        <v>0</v>
      </c>
      <c r="T88" s="327">
        <f t="shared" si="10"/>
        <v>0</v>
      </c>
      <c r="U88" s="326">
        <f>T88*係数!$I$30</f>
        <v>0</v>
      </c>
      <c r="V88" s="326">
        <f>T88*係数!$C$30*0.0000258</f>
        <v>0</v>
      </c>
      <c r="W88" s="282">
        <f t="shared" si="11"/>
        <v>0</v>
      </c>
      <c r="X88" s="337">
        <f t="shared" si="12"/>
        <v>0</v>
      </c>
      <c r="Y88" s="244">
        <f t="shared" si="13"/>
        <v>0</v>
      </c>
    </row>
    <row r="89" spans="2:25">
      <c r="B89" s="59" t="s">
        <v>368</v>
      </c>
      <c r="C89" s="10"/>
      <c r="D89" s="3"/>
      <c r="E89" s="483"/>
      <c r="F89" s="35"/>
      <c r="G89" s="35"/>
      <c r="H89" s="51" t="s">
        <v>341</v>
      </c>
      <c r="I89" s="3"/>
      <c r="J89" s="331">
        <f t="shared" si="14"/>
        <v>0</v>
      </c>
      <c r="K89" s="331">
        <f t="shared" si="8"/>
        <v>0</v>
      </c>
      <c r="L89" s="326">
        <f>K89*係数!$I$30</f>
        <v>0</v>
      </c>
      <c r="M89" s="326">
        <f>K89*係数!$C$30*0.0000258</f>
        <v>0</v>
      </c>
      <c r="N89" s="10"/>
      <c r="O89" s="3"/>
      <c r="P89" s="483"/>
      <c r="Q89" s="51" t="s">
        <v>341</v>
      </c>
      <c r="R89" s="3"/>
      <c r="S89" s="329">
        <f t="shared" si="9"/>
        <v>0</v>
      </c>
      <c r="T89" s="327">
        <f t="shared" si="10"/>
        <v>0</v>
      </c>
      <c r="U89" s="326">
        <f>T89*係数!$I$30</f>
        <v>0</v>
      </c>
      <c r="V89" s="326">
        <f>T89*係数!$C$30*0.0000258</f>
        <v>0</v>
      </c>
      <c r="W89" s="282">
        <f t="shared" si="11"/>
        <v>0</v>
      </c>
      <c r="X89" s="337">
        <f t="shared" si="12"/>
        <v>0</v>
      </c>
      <c r="Y89" s="244">
        <f t="shared" si="13"/>
        <v>0</v>
      </c>
    </row>
    <row r="90" spans="2:25">
      <c r="B90" s="59" t="s">
        <v>369</v>
      </c>
      <c r="C90" s="10"/>
      <c r="D90" s="3"/>
      <c r="E90" s="483"/>
      <c r="F90" s="35"/>
      <c r="G90" s="35"/>
      <c r="H90" s="51" t="s">
        <v>341</v>
      </c>
      <c r="I90" s="3"/>
      <c r="J90" s="331">
        <f t="shared" si="14"/>
        <v>0</v>
      </c>
      <c r="K90" s="331">
        <f t="shared" si="8"/>
        <v>0</v>
      </c>
      <c r="L90" s="326">
        <f>K90*係数!$I$30</f>
        <v>0</v>
      </c>
      <c r="M90" s="326">
        <f>K90*係数!$C$30*0.0000258</f>
        <v>0</v>
      </c>
      <c r="N90" s="10"/>
      <c r="O90" s="3"/>
      <c r="P90" s="483"/>
      <c r="Q90" s="51" t="s">
        <v>341</v>
      </c>
      <c r="R90" s="3"/>
      <c r="S90" s="329">
        <f t="shared" si="9"/>
        <v>0</v>
      </c>
      <c r="T90" s="327">
        <f t="shared" si="10"/>
        <v>0</v>
      </c>
      <c r="U90" s="326">
        <f>T90*係数!$I$30</f>
        <v>0</v>
      </c>
      <c r="V90" s="326">
        <f>T90*係数!$C$30*0.0000258</f>
        <v>0</v>
      </c>
      <c r="W90" s="282">
        <f t="shared" si="11"/>
        <v>0</v>
      </c>
      <c r="X90" s="337">
        <f t="shared" si="12"/>
        <v>0</v>
      </c>
      <c r="Y90" s="244">
        <f t="shared" si="13"/>
        <v>0</v>
      </c>
    </row>
    <row r="91" spans="2:25">
      <c r="B91" s="59" t="s">
        <v>370</v>
      </c>
      <c r="C91" s="10"/>
      <c r="D91" s="3"/>
      <c r="E91" s="483"/>
      <c r="F91" s="35"/>
      <c r="G91" s="35"/>
      <c r="H91" s="51" t="s">
        <v>341</v>
      </c>
      <c r="I91" s="3"/>
      <c r="J91" s="331">
        <f t="shared" si="14"/>
        <v>0</v>
      </c>
      <c r="K91" s="331">
        <f t="shared" si="8"/>
        <v>0</v>
      </c>
      <c r="L91" s="326">
        <f>K91*係数!$I$30</f>
        <v>0</v>
      </c>
      <c r="M91" s="326">
        <f>K91*係数!$C$30*0.0000258</f>
        <v>0</v>
      </c>
      <c r="N91" s="10"/>
      <c r="O91" s="3"/>
      <c r="P91" s="483"/>
      <c r="Q91" s="51" t="s">
        <v>341</v>
      </c>
      <c r="R91" s="3"/>
      <c r="S91" s="329">
        <f t="shared" si="9"/>
        <v>0</v>
      </c>
      <c r="T91" s="327">
        <f t="shared" si="10"/>
        <v>0</v>
      </c>
      <c r="U91" s="326">
        <f>T91*係数!$I$30</f>
        <v>0</v>
      </c>
      <c r="V91" s="326">
        <f>T91*係数!$C$30*0.0000258</f>
        <v>0</v>
      </c>
      <c r="W91" s="282">
        <f t="shared" si="11"/>
        <v>0</v>
      </c>
      <c r="X91" s="337">
        <f t="shared" si="12"/>
        <v>0</v>
      </c>
      <c r="Y91" s="244">
        <f t="shared" si="13"/>
        <v>0</v>
      </c>
    </row>
    <row r="92" spans="2:25">
      <c r="B92" s="59" t="s">
        <v>371</v>
      </c>
      <c r="C92" s="10"/>
      <c r="D92" s="3"/>
      <c r="E92" s="483"/>
      <c r="F92" s="35"/>
      <c r="G92" s="35"/>
      <c r="H92" s="51" t="s">
        <v>341</v>
      </c>
      <c r="I92" s="3"/>
      <c r="J92" s="331">
        <f t="shared" si="14"/>
        <v>0</v>
      </c>
      <c r="K92" s="331">
        <f t="shared" si="8"/>
        <v>0</v>
      </c>
      <c r="L92" s="326">
        <f>K92*係数!$I$30</f>
        <v>0</v>
      </c>
      <c r="M92" s="326">
        <f>K92*係数!$C$30*0.0000258</f>
        <v>0</v>
      </c>
      <c r="N92" s="10"/>
      <c r="O92" s="3"/>
      <c r="P92" s="483"/>
      <c r="Q92" s="51" t="s">
        <v>341</v>
      </c>
      <c r="R92" s="3"/>
      <c r="S92" s="329">
        <f t="shared" si="9"/>
        <v>0</v>
      </c>
      <c r="T92" s="327">
        <f t="shared" si="10"/>
        <v>0</v>
      </c>
      <c r="U92" s="326">
        <f>T92*係数!$I$30</f>
        <v>0</v>
      </c>
      <c r="V92" s="326">
        <f>T92*係数!$C$30*0.0000258</f>
        <v>0</v>
      </c>
      <c r="W92" s="282">
        <f t="shared" si="11"/>
        <v>0</v>
      </c>
      <c r="X92" s="337">
        <f t="shared" si="12"/>
        <v>0</v>
      </c>
      <c r="Y92" s="244">
        <f t="shared" si="13"/>
        <v>0</v>
      </c>
    </row>
    <row r="93" spans="2:25">
      <c r="B93" s="59" t="s">
        <v>372</v>
      </c>
      <c r="C93" s="10"/>
      <c r="D93" s="3"/>
      <c r="E93" s="483"/>
      <c r="F93" s="35"/>
      <c r="G93" s="35"/>
      <c r="H93" s="51" t="s">
        <v>341</v>
      </c>
      <c r="I93" s="3"/>
      <c r="J93" s="331">
        <f t="shared" si="14"/>
        <v>0</v>
      </c>
      <c r="K93" s="331">
        <f t="shared" si="8"/>
        <v>0</v>
      </c>
      <c r="L93" s="326">
        <f>K93*係数!$I$30</f>
        <v>0</v>
      </c>
      <c r="M93" s="326">
        <f>K93*係数!$C$30*0.0000258</f>
        <v>0</v>
      </c>
      <c r="N93" s="10"/>
      <c r="O93" s="3"/>
      <c r="P93" s="483"/>
      <c r="Q93" s="51" t="s">
        <v>341</v>
      </c>
      <c r="R93" s="3"/>
      <c r="S93" s="329">
        <f t="shared" si="9"/>
        <v>0</v>
      </c>
      <c r="T93" s="327">
        <f t="shared" si="10"/>
        <v>0</v>
      </c>
      <c r="U93" s="326">
        <f>T93*係数!$I$30</f>
        <v>0</v>
      </c>
      <c r="V93" s="326">
        <f>T93*係数!$C$30*0.0000258</f>
        <v>0</v>
      </c>
      <c r="W93" s="282">
        <f t="shared" si="11"/>
        <v>0</v>
      </c>
      <c r="X93" s="337">
        <f t="shared" si="12"/>
        <v>0</v>
      </c>
      <c r="Y93" s="244">
        <f t="shared" si="13"/>
        <v>0</v>
      </c>
    </row>
    <row r="94" spans="2:25">
      <c r="B94" s="59" t="s">
        <v>373</v>
      </c>
      <c r="C94" s="10"/>
      <c r="D94" s="3"/>
      <c r="E94" s="483"/>
      <c r="F94" s="35"/>
      <c r="G94" s="35"/>
      <c r="H94" s="51" t="s">
        <v>341</v>
      </c>
      <c r="I94" s="3"/>
      <c r="J94" s="331">
        <f t="shared" si="14"/>
        <v>0</v>
      </c>
      <c r="K94" s="331">
        <f t="shared" si="8"/>
        <v>0</v>
      </c>
      <c r="L94" s="326">
        <f>K94*係数!$I$30</f>
        <v>0</v>
      </c>
      <c r="M94" s="326">
        <f>K94*係数!$C$30*0.0000258</f>
        <v>0</v>
      </c>
      <c r="N94" s="10"/>
      <c r="O94" s="3"/>
      <c r="P94" s="483"/>
      <c r="Q94" s="51" t="s">
        <v>341</v>
      </c>
      <c r="R94" s="3"/>
      <c r="S94" s="329">
        <f t="shared" si="9"/>
        <v>0</v>
      </c>
      <c r="T94" s="327">
        <f t="shared" si="10"/>
        <v>0</v>
      </c>
      <c r="U94" s="326">
        <f>T94*係数!$I$30</f>
        <v>0</v>
      </c>
      <c r="V94" s="326">
        <f>T94*係数!$C$30*0.0000258</f>
        <v>0</v>
      </c>
      <c r="W94" s="282">
        <f t="shared" si="11"/>
        <v>0</v>
      </c>
      <c r="X94" s="337">
        <f t="shared" si="12"/>
        <v>0</v>
      </c>
      <c r="Y94" s="244">
        <f t="shared" si="13"/>
        <v>0</v>
      </c>
    </row>
    <row r="95" spans="2:25">
      <c r="B95" s="59" t="s">
        <v>374</v>
      </c>
      <c r="C95" s="10"/>
      <c r="D95" s="3"/>
      <c r="E95" s="483"/>
      <c r="F95" s="35"/>
      <c r="G95" s="35"/>
      <c r="H95" s="51" t="s">
        <v>341</v>
      </c>
      <c r="I95" s="3"/>
      <c r="J95" s="331">
        <f t="shared" si="14"/>
        <v>0</v>
      </c>
      <c r="K95" s="331">
        <f t="shared" si="8"/>
        <v>0</v>
      </c>
      <c r="L95" s="326">
        <f>K95*係数!$I$30</f>
        <v>0</v>
      </c>
      <c r="M95" s="326">
        <f>K95*係数!$C$30*0.0000258</f>
        <v>0</v>
      </c>
      <c r="N95" s="10"/>
      <c r="O95" s="3"/>
      <c r="P95" s="483"/>
      <c r="Q95" s="51" t="s">
        <v>341</v>
      </c>
      <c r="R95" s="3"/>
      <c r="S95" s="329">
        <f t="shared" si="9"/>
        <v>0</v>
      </c>
      <c r="T95" s="327">
        <f t="shared" si="10"/>
        <v>0</v>
      </c>
      <c r="U95" s="326">
        <f>T95*係数!$I$30</f>
        <v>0</v>
      </c>
      <c r="V95" s="326">
        <f>T95*係数!$C$30*0.0000258</f>
        <v>0</v>
      </c>
      <c r="W95" s="282">
        <f t="shared" si="11"/>
        <v>0</v>
      </c>
      <c r="X95" s="337">
        <f t="shared" si="12"/>
        <v>0</v>
      </c>
      <c r="Y95" s="244">
        <f t="shared" si="13"/>
        <v>0</v>
      </c>
    </row>
    <row r="96" spans="2:25">
      <c r="B96" s="59" t="s">
        <v>375</v>
      </c>
      <c r="C96" s="10"/>
      <c r="D96" s="3"/>
      <c r="E96" s="483"/>
      <c r="F96" s="35"/>
      <c r="G96" s="35"/>
      <c r="H96" s="51" t="s">
        <v>341</v>
      </c>
      <c r="I96" s="3"/>
      <c r="J96" s="331">
        <f t="shared" si="14"/>
        <v>0</v>
      </c>
      <c r="K96" s="331">
        <f t="shared" si="8"/>
        <v>0</v>
      </c>
      <c r="L96" s="326">
        <f>K96*係数!$I$30</f>
        <v>0</v>
      </c>
      <c r="M96" s="326">
        <f>K96*係数!$C$30*0.0000258</f>
        <v>0</v>
      </c>
      <c r="N96" s="10"/>
      <c r="O96" s="3"/>
      <c r="P96" s="483"/>
      <c r="Q96" s="51" t="s">
        <v>341</v>
      </c>
      <c r="R96" s="3"/>
      <c r="S96" s="329">
        <f t="shared" si="9"/>
        <v>0</v>
      </c>
      <c r="T96" s="327">
        <f t="shared" si="10"/>
        <v>0</v>
      </c>
      <c r="U96" s="326">
        <f>T96*係数!$I$30</f>
        <v>0</v>
      </c>
      <c r="V96" s="326">
        <f>T96*係数!$C$30*0.0000258</f>
        <v>0</v>
      </c>
      <c r="W96" s="282">
        <f t="shared" si="11"/>
        <v>0</v>
      </c>
      <c r="X96" s="337">
        <f t="shared" si="12"/>
        <v>0</v>
      </c>
      <c r="Y96" s="244">
        <f t="shared" si="13"/>
        <v>0</v>
      </c>
    </row>
    <row r="97" spans="2:25">
      <c r="B97" s="59" t="s">
        <v>376</v>
      </c>
      <c r="C97" s="10"/>
      <c r="D97" s="3"/>
      <c r="E97" s="483"/>
      <c r="F97" s="35"/>
      <c r="G97" s="35"/>
      <c r="H97" s="51" t="s">
        <v>341</v>
      </c>
      <c r="I97" s="3"/>
      <c r="J97" s="331">
        <f t="shared" si="14"/>
        <v>0</v>
      </c>
      <c r="K97" s="331">
        <f t="shared" si="8"/>
        <v>0</v>
      </c>
      <c r="L97" s="326">
        <f>K97*係数!$I$30</f>
        <v>0</v>
      </c>
      <c r="M97" s="326">
        <f>K97*係数!$C$30*0.0000258</f>
        <v>0</v>
      </c>
      <c r="N97" s="10"/>
      <c r="O97" s="3"/>
      <c r="P97" s="483"/>
      <c r="Q97" s="51" t="s">
        <v>341</v>
      </c>
      <c r="R97" s="3"/>
      <c r="S97" s="329">
        <f t="shared" si="9"/>
        <v>0</v>
      </c>
      <c r="T97" s="327">
        <f t="shared" si="10"/>
        <v>0</v>
      </c>
      <c r="U97" s="326">
        <f>T97*係数!$I$30</f>
        <v>0</v>
      </c>
      <c r="V97" s="326">
        <f>T97*係数!$C$30*0.0000258</f>
        <v>0</v>
      </c>
      <c r="W97" s="282">
        <f t="shared" si="11"/>
        <v>0</v>
      </c>
      <c r="X97" s="337">
        <f t="shared" si="12"/>
        <v>0</v>
      </c>
      <c r="Y97" s="244">
        <f t="shared" si="13"/>
        <v>0</v>
      </c>
    </row>
    <row r="98" spans="2:25">
      <c r="B98" s="59" t="s">
        <v>377</v>
      </c>
      <c r="C98" s="10"/>
      <c r="D98" s="3"/>
      <c r="E98" s="483"/>
      <c r="F98" s="35"/>
      <c r="G98" s="35"/>
      <c r="H98" s="51" t="s">
        <v>341</v>
      </c>
      <c r="I98" s="3"/>
      <c r="J98" s="331">
        <f t="shared" si="14"/>
        <v>0</v>
      </c>
      <c r="K98" s="331">
        <f t="shared" si="8"/>
        <v>0</v>
      </c>
      <c r="L98" s="326">
        <f>K98*係数!$I$30</f>
        <v>0</v>
      </c>
      <c r="M98" s="326">
        <f>K98*係数!$C$30*0.0000258</f>
        <v>0</v>
      </c>
      <c r="N98" s="10"/>
      <c r="O98" s="3"/>
      <c r="P98" s="483"/>
      <c r="Q98" s="51" t="s">
        <v>341</v>
      </c>
      <c r="R98" s="3"/>
      <c r="S98" s="329">
        <f t="shared" si="9"/>
        <v>0</v>
      </c>
      <c r="T98" s="327">
        <f t="shared" si="10"/>
        <v>0</v>
      </c>
      <c r="U98" s="326">
        <f>T98*係数!$I$30</f>
        <v>0</v>
      </c>
      <c r="V98" s="326">
        <f>T98*係数!$C$30*0.0000258</f>
        <v>0</v>
      </c>
      <c r="W98" s="282">
        <f t="shared" si="11"/>
        <v>0</v>
      </c>
      <c r="X98" s="337">
        <f t="shared" si="12"/>
        <v>0</v>
      </c>
      <c r="Y98" s="244">
        <f t="shared" si="13"/>
        <v>0</v>
      </c>
    </row>
    <row r="99" spans="2:25">
      <c r="B99" s="59" t="s">
        <v>378</v>
      </c>
      <c r="C99" s="10"/>
      <c r="D99" s="3"/>
      <c r="E99" s="483"/>
      <c r="F99" s="35"/>
      <c r="G99" s="35"/>
      <c r="H99" s="51" t="s">
        <v>341</v>
      </c>
      <c r="I99" s="3"/>
      <c r="J99" s="331">
        <f t="shared" si="14"/>
        <v>0</v>
      </c>
      <c r="K99" s="331">
        <f t="shared" si="8"/>
        <v>0</v>
      </c>
      <c r="L99" s="326">
        <f>K99*係数!$I$30</f>
        <v>0</v>
      </c>
      <c r="M99" s="326">
        <f>K99*係数!$C$30*0.0000258</f>
        <v>0</v>
      </c>
      <c r="N99" s="10"/>
      <c r="O99" s="3"/>
      <c r="P99" s="483"/>
      <c r="Q99" s="51" t="s">
        <v>341</v>
      </c>
      <c r="R99" s="3"/>
      <c r="S99" s="329">
        <f t="shared" si="9"/>
        <v>0</v>
      </c>
      <c r="T99" s="327">
        <f t="shared" si="10"/>
        <v>0</v>
      </c>
      <c r="U99" s="326">
        <f>T99*係数!$I$30</f>
        <v>0</v>
      </c>
      <c r="V99" s="326">
        <f>T99*係数!$C$30*0.0000258</f>
        <v>0</v>
      </c>
      <c r="W99" s="282">
        <f t="shared" si="11"/>
        <v>0</v>
      </c>
      <c r="X99" s="337">
        <f t="shared" si="12"/>
        <v>0</v>
      </c>
      <c r="Y99" s="244">
        <f t="shared" si="13"/>
        <v>0</v>
      </c>
    </row>
    <row r="100" spans="2:25">
      <c r="B100" s="59" t="s">
        <v>379</v>
      </c>
      <c r="C100" s="10"/>
      <c r="D100" s="3"/>
      <c r="E100" s="483"/>
      <c r="F100" s="35"/>
      <c r="G100" s="35"/>
      <c r="H100" s="51" t="s">
        <v>341</v>
      </c>
      <c r="I100" s="3"/>
      <c r="J100" s="331">
        <f t="shared" si="14"/>
        <v>0</v>
      </c>
      <c r="K100" s="331">
        <f t="shared" si="8"/>
        <v>0</v>
      </c>
      <c r="L100" s="326">
        <f>K100*係数!$I$30</f>
        <v>0</v>
      </c>
      <c r="M100" s="326">
        <f>K100*係数!$C$30*0.0000258</f>
        <v>0</v>
      </c>
      <c r="N100" s="10"/>
      <c r="O100" s="3"/>
      <c r="P100" s="483"/>
      <c r="Q100" s="51" t="s">
        <v>341</v>
      </c>
      <c r="R100" s="3"/>
      <c r="S100" s="329">
        <f t="shared" si="9"/>
        <v>0</v>
      </c>
      <c r="T100" s="327">
        <f t="shared" si="10"/>
        <v>0</v>
      </c>
      <c r="U100" s="326">
        <f>T100*係数!$I$30</f>
        <v>0</v>
      </c>
      <c r="V100" s="326">
        <f>T100*係数!$C$30*0.0000258</f>
        <v>0</v>
      </c>
      <c r="W100" s="282">
        <f t="shared" si="11"/>
        <v>0</v>
      </c>
      <c r="X100" s="337">
        <f t="shared" si="12"/>
        <v>0</v>
      </c>
      <c r="Y100" s="244">
        <f t="shared" si="13"/>
        <v>0</v>
      </c>
    </row>
    <row r="101" spans="2:25">
      <c r="B101" s="59" t="s">
        <v>380</v>
      </c>
      <c r="C101" s="10"/>
      <c r="D101" s="3"/>
      <c r="E101" s="483"/>
      <c r="F101" s="35"/>
      <c r="G101" s="35"/>
      <c r="H101" s="51" t="s">
        <v>341</v>
      </c>
      <c r="I101" s="3"/>
      <c r="J101" s="331">
        <f t="shared" si="14"/>
        <v>0</v>
      </c>
      <c r="K101" s="331">
        <f t="shared" si="8"/>
        <v>0</v>
      </c>
      <c r="L101" s="326">
        <f>K101*係数!$I$30</f>
        <v>0</v>
      </c>
      <c r="M101" s="326">
        <f>K101*係数!$C$30*0.0000258</f>
        <v>0</v>
      </c>
      <c r="N101" s="10"/>
      <c r="O101" s="3"/>
      <c r="P101" s="483"/>
      <c r="Q101" s="51" t="s">
        <v>341</v>
      </c>
      <c r="R101" s="3"/>
      <c r="S101" s="329">
        <f t="shared" si="9"/>
        <v>0</v>
      </c>
      <c r="T101" s="327">
        <f t="shared" si="10"/>
        <v>0</v>
      </c>
      <c r="U101" s="326">
        <f>T101*係数!$I$30</f>
        <v>0</v>
      </c>
      <c r="V101" s="326">
        <f>T101*係数!$C$30*0.0000258</f>
        <v>0</v>
      </c>
      <c r="W101" s="282">
        <f t="shared" si="11"/>
        <v>0</v>
      </c>
      <c r="X101" s="337">
        <f t="shared" si="12"/>
        <v>0</v>
      </c>
      <c r="Y101" s="244">
        <f t="shared" si="13"/>
        <v>0</v>
      </c>
    </row>
    <row r="102" spans="2:25">
      <c r="B102" s="59" t="s">
        <v>381</v>
      </c>
      <c r="C102" s="10"/>
      <c r="D102" s="3"/>
      <c r="E102" s="483"/>
      <c r="F102" s="35"/>
      <c r="G102" s="35"/>
      <c r="H102" s="51" t="s">
        <v>341</v>
      </c>
      <c r="I102" s="3"/>
      <c r="J102" s="331">
        <f t="shared" si="14"/>
        <v>0</v>
      </c>
      <c r="K102" s="331">
        <f t="shared" si="8"/>
        <v>0</v>
      </c>
      <c r="L102" s="326">
        <f>K102*係数!$I$30</f>
        <v>0</v>
      </c>
      <c r="M102" s="326">
        <f>K102*係数!$C$30*0.0000258</f>
        <v>0</v>
      </c>
      <c r="N102" s="10"/>
      <c r="O102" s="3"/>
      <c r="P102" s="483"/>
      <c r="Q102" s="51" t="s">
        <v>341</v>
      </c>
      <c r="R102" s="3"/>
      <c r="S102" s="329">
        <f t="shared" si="9"/>
        <v>0</v>
      </c>
      <c r="T102" s="327">
        <f t="shared" si="10"/>
        <v>0</v>
      </c>
      <c r="U102" s="326">
        <f>T102*係数!$I$30</f>
        <v>0</v>
      </c>
      <c r="V102" s="326">
        <f>T102*係数!$C$30*0.0000258</f>
        <v>0</v>
      </c>
      <c r="W102" s="282">
        <f t="shared" si="11"/>
        <v>0</v>
      </c>
      <c r="X102" s="337">
        <f t="shared" si="12"/>
        <v>0</v>
      </c>
      <c r="Y102" s="244">
        <f t="shared" si="13"/>
        <v>0</v>
      </c>
    </row>
    <row r="103" spans="2:25">
      <c r="B103" s="59" t="s">
        <v>382</v>
      </c>
      <c r="C103" s="10"/>
      <c r="D103" s="3"/>
      <c r="E103" s="483"/>
      <c r="F103" s="35"/>
      <c r="G103" s="35"/>
      <c r="H103" s="51" t="s">
        <v>341</v>
      </c>
      <c r="I103" s="3"/>
      <c r="J103" s="331">
        <f t="shared" si="14"/>
        <v>0</v>
      </c>
      <c r="K103" s="331">
        <f t="shared" si="8"/>
        <v>0</v>
      </c>
      <c r="L103" s="326">
        <f>K103*係数!$I$30</f>
        <v>0</v>
      </c>
      <c r="M103" s="326">
        <f>K103*係数!$C$30*0.0000258</f>
        <v>0</v>
      </c>
      <c r="N103" s="10"/>
      <c r="O103" s="3"/>
      <c r="P103" s="483"/>
      <c r="Q103" s="51" t="s">
        <v>341</v>
      </c>
      <c r="R103" s="3"/>
      <c r="S103" s="329">
        <f t="shared" si="9"/>
        <v>0</v>
      </c>
      <c r="T103" s="327">
        <f t="shared" si="10"/>
        <v>0</v>
      </c>
      <c r="U103" s="326">
        <f>T103*係数!$I$30</f>
        <v>0</v>
      </c>
      <c r="V103" s="326">
        <f>T103*係数!$C$30*0.0000258</f>
        <v>0</v>
      </c>
      <c r="W103" s="282">
        <f t="shared" si="11"/>
        <v>0</v>
      </c>
      <c r="X103" s="337">
        <f t="shared" si="12"/>
        <v>0</v>
      </c>
      <c r="Y103" s="244">
        <f t="shared" si="13"/>
        <v>0</v>
      </c>
    </row>
    <row r="104" spans="2:25">
      <c r="B104" s="59" t="s">
        <v>383</v>
      </c>
      <c r="C104" s="10"/>
      <c r="D104" s="3"/>
      <c r="E104" s="483"/>
      <c r="F104" s="35"/>
      <c r="G104" s="35"/>
      <c r="H104" s="51" t="s">
        <v>341</v>
      </c>
      <c r="I104" s="3"/>
      <c r="J104" s="331">
        <f t="shared" si="14"/>
        <v>0</v>
      </c>
      <c r="K104" s="331">
        <f t="shared" si="8"/>
        <v>0</v>
      </c>
      <c r="L104" s="326">
        <f>K104*係数!$I$30</f>
        <v>0</v>
      </c>
      <c r="M104" s="326">
        <f>K104*係数!$C$30*0.0000258</f>
        <v>0</v>
      </c>
      <c r="N104" s="10"/>
      <c r="O104" s="3"/>
      <c r="P104" s="483"/>
      <c r="Q104" s="51" t="s">
        <v>341</v>
      </c>
      <c r="R104" s="3"/>
      <c r="S104" s="329">
        <f t="shared" si="9"/>
        <v>0</v>
      </c>
      <c r="T104" s="327">
        <f t="shared" si="10"/>
        <v>0</v>
      </c>
      <c r="U104" s="326">
        <f>T104*係数!$I$30</f>
        <v>0</v>
      </c>
      <c r="V104" s="326">
        <f>T104*係数!$C$30*0.0000258</f>
        <v>0</v>
      </c>
      <c r="W104" s="282">
        <f t="shared" si="11"/>
        <v>0</v>
      </c>
      <c r="X104" s="337">
        <f t="shared" si="12"/>
        <v>0</v>
      </c>
      <c r="Y104" s="244">
        <f t="shared" si="13"/>
        <v>0</v>
      </c>
    </row>
    <row r="105" spans="2:25">
      <c r="B105" s="59" t="s">
        <v>384</v>
      </c>
      <c r="C105" s="10"/>
      <c r="D105" s="3"/>
      <c r="E105" s="483"/>
      <c r="F105" s="35"/>
      <c r="G105" s="35"/>
      <c r="H105" s="51" t="s">
        <v>341</v>
      </c>
      <c r="I105" s="3"/>
      <c r="J105" s="331">
        <f t="shared" si="14"/>
        <v>0</v>
      </c>
      <c r="K105" s="331">
        <f t="shared" si="8"/>
        <v>0</v>
      </c>
      <c r="L105" s="326">
        <f>K105*係数!$I$30</f>
        <v>0</v>
      </c>
      <c r="M105" s="326">
        <f>K105*係数!$C$30*0.0000258</f>
        <v>0</v>
      </c>
      <c r="N105" s="10"/>
      <c r="O105" s="3"/>
      <c r="P105" s="483"/>
      <c r="Q105" s="51" t="s">
        <v>341</v>
      </c>
      <c r="R105" s="3"/>
      <c r="S105" s="329">
        <f t="shared" si="9"/>
        <v>0</v>
      </c>
      <c r="T105" s="327">
        <f t="shared" si="10"/>
        <v>0</v>
      </c>
      <c r="U105" s="326">
        <f>T105*係数!$I$30</f>
        <v>0</v>
      </c>
      <c r="V105" s="326">
        <f>T105*係数!$C$30*0.0000258</f>
        <v>0</v>
      </c>
      <c r="W105" s="282">
        <f t="shared" si="11"/>
        <v>0</v>
      </c>
      <c r="X105" s="337">
        <f t="shared" si="12"/>
        <v>0</v>
      </c>
      <c r="Y105" s="244">
        <f t="shared" si="13"/>
        <v>0</v>
      </c>
    </row>
    <row r="106" spans="2:25">
      <c r="B106" s="59" t="s">
        <v>385</v>
      </c>
      <c r="C106" s="10"/>
      <c r="D106" s="3"/>
      <c r="E106" s="483"/>
      <c r="F106" s="35"/>
      <c r="G106" s="35"/>
      <c r="H106" s="51" t="s">
        <v>341</v>
      </c>
      <c r="I106" s="3"/>
      <c r="J106" s="331">
        <f t="shared" si="14"/>
        <v>0</v>
      </c>
      <c r="K106" s="331">
        <f t="shared" si="8"/>
        <v>0</v>
      </c>
      <c r="L106" s="326">
        <f>K106*係数!$I$30</f>
        <v>0</v>
      </c>
      <c r="M106" s="326">
        <f>K106*係数!$C$30*0.0000258</f>
        <v>0</v>
      </c>
      <c r="N106" s="10"/>
      <c r="O106" s="3"/>
      <c r="P106" s="483"/>
      <c r="Q106" s="51" t="s">
        <v>341</v>
      </c>
      <c r="R106" s="3"/>
      <c r="S106" s="329">
        <f t="shared" si="9"/>
        <v>0</v>
      </c>
      <c r="T106" s="327">
        <f t="shared" si="10"/>
        <v>0</v>
      </c>
      <c r="U106" s="326">
        <f>T106*係数!$I$30</f>
        <v>0</v>
      </c>
      <c r="V106" s="326">
        <f>T106*係数!$C$30*0.0000258</f>
        <v>0</v>
      </c>
      <c r="W106" s="282">
        <f t="shared" si="11"/>
        <v>0</v>
      </c>
      <c r="X106" s="337">
        <f t="shared" si="12"/>
        <v>0</v>
      </c>
      <c r="Y106" s="244">
        <f t="shared" si="13"/>
        <v>0</v>
      </c>
    </row>
    <row r="107" spans="2:25">
      <c r="B107" s="59" t="s">
        <v>386</v>
      </c>
      <c r="C107" s="10"/>
      <c r="D107" s="3"/>
      <c r="E107" s="483"/>
      <c r="F107" s="35"/>
      <c r="G107" s="35"/>
      <c r="H107" s="51" t="s">
        <v>341</v>
      </c>
      <c r="I107" s="3"/>
      <c r="J107" s="331">
        <f t="shared" si="14"/>
        <v>0</v>
      </c>
      <c r="K107" s="331">
        <f t="shared" si="8"/>
        <v>0</v>
      </c>
      <c r="L107" s="326">
        <f>K107*係数!$I$30</f>
        <v>0</v>
      </c>
      <c r="M107" s="326">
        <f>K107*係数!$C$30*0.0000258</f>
        <v>0</v>
      </c>
      <c r="N107" s="10"/>
      <c r="O107" s="3"/>
      <c r="P107" s="483"/>
      <c r="Q107" s="51" t="s">
        <v>341</v>
      </c>
      <c r="R107" s="3"/>
      <c r="S107" s="329">
        <f t="shared" si="9"/>
        <v>0</v>
      </c>
      <c r="T107" s="327">
        <f t="shared" si="10"/>
        <v>0</v>
      </c>
      <c r="U107" s="326">
        <f>T107*係数!$I$30</f>
        <v>0</v>
      </c>
      <c r="V107" s="326">
        <f>T107*係数!$C$30*0.0000258</f>
        <v>0</v>
      </c>
      <c r="W107" s="282">
        <f t="shared" si="11"/>
        <v>0</v>
      </c>
      <c r="X107" s="337">
        <f t="shared" si="12"/>
        <v>0</v>
      </c>
      <c r="Y107" s="244">
        <f t="shared" si="13"/>
        <v>0</v>
      </c>
    </row>
    <row r="108" spans="2:25">
      <c r="B108" s="59" t="s">
        <v>387</v>
      </c>
      <c r="C108" s="10"/>
      <c r="D108" s="3"/>
      <c r="E108" s="483"/>
      <c r="F108" s="35"/>
      <c r="G108" s="35"/>
      <c r="H108" s="51" t="s">
        <v>341</v>
      </c>
      <c r="I108" s="3"/>
      <c r="J108" s="331">
        <f t="shared" si="14"/>
        <v>0</v>
      </c>
      <c r="K108" s="331">
        <f t="shared" si="8"/>
        <v>0</v>
      </c>
      <c r="L108" s="326">
        <f>K108*係数!$I$30</f>
        <v>0</v>
      </c>
      <c r="M108" s="326">
        <f>K108*係数!$C$30*0.0000258</f>
        <v>0</v>
      </c>
      <c r="N108" s="10"/>
      <c r="O108" s="3"/>
      <c r="P108" s="483"/>
      <c r="Q108" s="51" t="s">
        <v>341</v>
      </c>
      <c r="R108" s="3"/>
      <c r="S108" s="329">
        <f t="shared" si="9"/>
        <v>0</v>
      </c>
      <c r="T108" s="327">
        <f t="shared" si="10"/>
        <v>0</v>
      </c>
      <c r="U108" s="326">
        <f>T108*係数!$I$30</f>
        <v>0</v>
      </c>
      <c r="V108" s="326">
        <f>T108*係数!$C$30*0.0000258</f>
        <v>0</v>
      </c>
      <c r="W108" s="282">
        <f t="shared" si="11"/>
        <v>0</v>
      </c>
      <c r="X108" s="337">
        <f t="shared" si="12"/>
        <v>0</v>
      </c>
      <c r="Y108" s="244">
        <f t="shared" si="13"/>
        <v>0</v>
      </c>
    </row>
    <row r="109" spans="2:25">
      <c r="B109" s="59" t="s">
        <v>388</v>
      </c>
      <c r="C109" s="10"/>
      <c r="D109" s="3"/>
      <c r="E109" s="483"/>
      <c r="F109" s="35"/>
      <c r="G109" s="35"/>
      <c r="H109" s="51" t="s">
        <v>341</v>
      </c>
      <c r="I109" s="3"/>
      <c r="J109" s="331">
        <f t="shared" si="14"/>
        <v>0</v>
      </c>
      <c r="K109" s="331">
        <f t="shared" si="8"/>
        <v>0</v>
      </c>
      <c r="L109" s="326">
        <f>K109*係数!$I$30</f>
        <v>0</v>
      </c>
      <c r="M109" s="326">
        <f>K109*係数!$C$30*0.0000258</f>
        <v>0</v>
      </c>
      <c r="N109" s="10"/>
      <c r="O109" s="3"/>
      <c r="P109" s="483"/>
      <c r="Q109" s="51" t="s">
        <v>341</v>
      </c>
      <c r="R109" s="3"/>
      <c r="S109" s="329">
        <f t="shared" si="9"/>
        <v>0</v>
      </c>
      <c r="T109" s="327">
        <f t="shared" si="10"/>
        <v>0</v>
      </c>
      <c r="U109" s="326">
        <f>T109*係数!$I$30</f>
        <v>0</v>
      </c>
      <c r="V109" s="326">
        <f>T109*係数!$C$30*0.0000258</f>
        <v>0</v>
      </c>
      <c r="W109" s="282">
        <f t="shared" si="11"/>
        <v>0</v>
      </c>
      <c r="X109" s="337">
        <f t="shared" si="12"/>
        <v>0</v>
      </c>
      <c r="Y109" s="244">
        <f t="shared" si="13"/>
        <v>0</v>
      </c>
    </row>
    <row r="110" spans="2:25">
      <c r="B110" s="59" t="s">
        <v>389</v>
      </c>
      <c r="C110" s="10"/>
      <c r="D110" s="3"/>
      <c r="E110" s="483"/>
      <c r="F110" s="35"/>
      <c r="G110" s="35"/>
      <c r="H110" s="51" t="s">
        <v>341</v>
      </c>
      <c r="I110" s="3"/>
      <c r="J110" s="331">
        <f t="shared" si="14"/>
        <v>0</v>
      </c>
      <c r="K110" s="331">
        <f t="shared" si="8"/>
        <v>0</v>
      </c>
      <c r="L110" s="326">
        <f>K110*係数!$I$30</f>
        <v>0</v>
      </c>
      <c r="M110" s="326">
        <f>K110*係数!$C$30*0.0000258</f>
        <v>0</v>
      </c>
      <c r="N110" s="10"/>
      <c r="O110" s="3"/>
      <c r="P110" s="483"/>
      <c r="Q110" s="51" t="s">
        <v>341</v>
      </c>
      <c r="R110" s="3"/>
      <c r="S110" s="329">
        <f t="shared" si="9"/>
        <v>0</v>
      </c>
      <c r="T110" s="327">
        <f t="shared" si="10"/>
        <v>0</v>
      </c>
      <c r="U110" s="326">
        <f>T110*係数!$I$30</f>
        <v>0</v>
      </c>
      <c r="V110" s="326">
        <f>T110*係数!$C$30*0.0000258</f>
        <v>0</v>
      </c>
      <c r="W110" s="282">
        <f t="shared" si="11"/>
        <v>0</v>
      </c>
      <c r="X110" s="337">
        <f t="shared" si="12"/>
        <v>0</v>
      </c>
      <c r="Y110" s="244">
        <f t="shared" si="13"/>
        <v>0</v>
      </c>
    </row>
    <row r="111" spans="2:25">
      <c r="B111" s="59" t="s">
        <v>390</v>
      </c>
      <c r="C111" s="10"/>
      <c r="D111" s="3"/>
      <c r="E111" s="483"/>
      <c r="F111" s="35"/>
      <c r="G111" s="35"/>
      <c r="H111" s="51" t="s">
        <v>341</v>
      </c>
      <c r="I111" s="3"/>
      <c r="J111" s="331">
        <f t="shared" si="14"/>
        <v>0</v>
      </c>
      <c r="K111" s="331">
        <f t="shared" si="8"/>
        <v>0</v>
      </c>
      <c r="L111" s="326">
        <f>K111*係数!$I$30</f>
        <v>0</v>
      </c>
      <c r="M111" s="326">
        <f>K111*係数!$C$30*0.0000258</f>
        <v>0</v>
      </c>
      <c r="N111" s="10"/>
      <c r="O111" s="3"/>
      <c r="P111" s="483"/>
      <c r="Q111" s="51" t="s">
        <v>341</v>
      </c>
      <c r="R111" s="3"/>
      <c r="S111" s="329">
        <f t="shared" si="9"/>
        <v>0</v>
      </c>
      <c r="T111" s="327">
        <f t="shared" si="10"/>
        <v>0</v>
      </c>
      <c r="U111" s="326">
        <f>T111*係数!$I$30</f>
        <v>0</v>
      </c>
      <c r="V111" s="326">
        <f>T111*係数!$C$30*0.0000258</f>
        <v>0</v>
      </c>
      <c r="W111" s="282">
        <f t="shared" si="11"/>
        <v>0</v>
      </c>
      <c r="X111" s="337">
        <f t="shared" si="12"/>
        <v>0</v>
      </c>
      <c r="Y111" s="244">
        <f t="shared" si="13"/>
        <v>0</v>
      </c>
    </row>
    <row r="112" spans="2:25">
      <c r="B112" s="59" t="s">
        <v>391</v>
      </c>
      <c r="C112" s="10"/>
      <c r="D112" s="3"/>
      <c r="E112" s="483"/>
      <c r="F112" s="35"/>
      <c r="G112" s="35"/>
      <c r="H112" s="51" t="s">
        <v>341</v>
      </c>
      <c r="I112" s="3"/>
      <c r="J112" s="331">
        <f t="shared" si="14"/>
        <v>0</v>
      </c>
      <c r="K112" s="331">
        <f t="shared" si="8"/>
        <v>0</v>
      </c>
      <c r="L112" s="326">
        <f>K112*係数!$I$30</f>
        <v>0</v>
      </c>
      <c r="M112" s="326">
        <f>K112*係数!$C$30*0.0000258</f>
        <v>0</v>
      </c>
      <c r="N112" s="10"/>
      <c r="O112" s="3"/>
      <c r="P112" s="483"/>
      <c r="Q112" s="51" t="s">
        <v>341</v>
      </c>
      <c r="R112" s="3"/>
      <c r="S112" s="329">
        <f t="shared" si="9"/>
        <v>0</v>
      </c>
      <c r="T112" s="327">
        <f t="shared" si="10"/>
        <v>0</v>
      </c>
      <c r="U112" s="326">
        <f>T112*係数!$I$30</f>
        <v>0</v>
      </c>
      <c r="V112" s="326">
        <f>T112*係数!$C$30*0.0000258</f>
        <v>0</v>
      </c>
      <c r="W112" s="282">
        <f t="shared" si="11"/>
        <v>0</v>
      </c>
      <c r="X112" s="337">
        <f t="shared" si="12"/>
        <v>0</v>
      </c>
      <c r="Y112" s="244">
        <f t="shared" si="13"/>
        <v>0</v>
      </c>
    </row>
    <row r="113" spans="2:25">
      <c r="B113" s="59" t="s">
        <v>392</v>
      </c>
      <c r="C113" s="10"/>
      <c r="D113" s="3"/>
      <c r="E113" s="483"/>
      <c r="F113" s="35"/>
      <c r="G113" s="35"/>
      <c r="H113" s="51" t="s">
        <v>341</v>
      </c>
      <c r="I113" s="3"/>
      <c r="J113" s="331">
        <f t="shared" si="14"/>
        <v>0</v>
      </c>
      <c r="K113" s="331">
        <f t="shared" si="8"/>
        <v>0</v>
      </c>
      <c r="L113" s="326">
        <f>K113*係数!$I$30</f>
        <v>0</v>
      </c>
      <c r="M113" s="326">
        <f>K113*係数!$C$30*0.0000258</f>
        <v>0</v>
      </c>
      <c r="N113" s="10"/>
      <c r="O113" s="3"/>
      <c r="P113" s="483"/>
      <c r="Q113" s="51" t="s">
        <v>341</v>
      </c>
      <c r="R113" s="3"/>
      <c r="S113" s="329">
        <f t="shared" si="9"/>
        <v>0</v>
      </c>
      <c r="T113" s="327">
        <f t="shared" si="10"/>
        <v>0</v>
      </c>
      <c r="U113" s="326">
        <f>T113*係数!$I$30</f>
        <v>0</v>
      </c>
      <c r="V113" s="326">
        <f>T113*係数!$C$30*0.0000258</f>
        <v>0</v>
      </c>
      <c r="W113" s="282">
        <f t="shared" si="11"/>
        <v>0</v>
      </c>
      <c r="X113" s="337">
        <f t="shared" si="12"/>
        <v>0</v>
      </c>
      <c r="Y113" s="244">
        <f t="shared" si="13"/>
        <v>0</v>
      </c>
    </row>
    <row r="114" spans="2:25">
      <c r="B114" s="59" t="s">
        <v>393</v>
      </c>
      <c r="C114" s="10"/>
      <c r="D114" s="3"/>
      <c r="E114" s="483"/>
      <c r="F114" s="35"/>
      <c r="G114" s="35"/>
      <c r="H114" s="51" t="s">
        <v>341</v>
      </c>
      <c r="I114" s="3"/>
      <c r="J114" s="331">
        <f t="shared" si="14"/>
        <v>0</v>
      </c>
      <c r="K114" s="331">
        <f t="shared" si="8"/>
        <v>0</v>
      </c>
      <c r="L114" s="326">
        <f>K114*係数!$I$30</f>
        <v>0</v>
      </c>
      <c r="M114" s="326">
        <f>K114*係数!$C$30*0.0000258</f>
        <v>0</v>
      </c>
      <c r="N114" s="10"/>
      <c r="O114" s="3"/>
      <c r="P114" s="483"/>
      <c r="Q114" s="51" t="s">
        <v>341</v>
      </c>
      <c r="R114" s="3"/>
      <c r="S114" s="329">
        <f t="shared" si="9"/>
        <v>0</v>
      </c>
      <c r="T114" s="327">
        <f t="shared" si="10"/>
        <v>0</v>
      </c>
      <c r="U114" s="326">
        <f>T114*係数!$I$30</f>
        <v>0</v>
      </c>
      <c r="V114" s="326">
        <f>T114*係数!$C$30*0.0000258</f>
        <v>0</v>
      </c>
      <c r="W114" s="282">
        <f t="shared" si="11"/>
        <v>0</v>
      </c>
      <c r="X114" s="337">
        <f t="shared" si="12"/>
        <v>0</v>
      </c>
      <c r="Y114" s="244">
        <f t="shared" si="13"/>
        <v>0</v>
      </c>
    </row>
    <row r="115" spans="2:25">
      <c r="B115" s="59" t="s">
        <v>394</v>
      </c>
      <c r="C115" s="10"/>
      <c r="D115" s="3"/>
      <c r="E115" s="483"/>
      <c r="F115" s="35"/>
      <c r="G115" s="35"/>
      <c r="H115" s="51" t="s">
        <v>341</v>
      </c>
      <c r="I115" s="3"/>
      <c r="J115" s="331">
        <f t="shared" si="14"/>
        <v>0</v>
      </c>
      <c r="K115" s="331">
        <f t="shared" si="8"/>
        <v>0</v>
      </c>
      <c r="L115" s="326">
        <f>K115*係数!$I$30</f>
        <v>0</v>
      </c>
      <c r="M115" s="326">
        <f>K115*係数!$C$30*0.0000258</f>
        <v>0</v>
      </c>
      <c r="N115" s="10"/>
      <c r="O115" s="3"/>
      <c r="P115" s="483"/>
      <c r="Q115" s="51" t="s">
        <v>341</v>
      </c>
      <c r="R115" s="3"/>
      <c r="S115" s="329">
        <f t="shared" si="9"/>
        <v>0</v>
      </c>
      <c r="T115" s="327">
        <f t="shared" si="10"/>
        <v>0</v>
      </c>
      <c r="U115" s="326">
        <f>T115*係数!$I$30</f>
        <v>0</v>
      </c>
      <c r="V115" s="326">
        <f>T115*係数!$C$30*0.0000258</f>
        <v>0</v>
      </c>
      <c r="W115" s="282">
        <f t="shared" si="11"/>
        <v>0</v>
      </c>
      <c r="X115" s="337">
        <f t="shared" si="12"/>
        <v>0</v>
      </c>
      <c r="Y115" s="244">
        <f t="shared" si="13"/>
        <v>0</v>
      </c>
    </row>
    <row r="116" spans="2:25">
      <c r="B116" s="59" t="s">
        <v>395</v>
      </c>
      <c r="C116" s="10"/>
      <c r="D116" s="3"/>
      <c r="E116" s="483"/>
      <c r="F116" s="35"/>
      <c r="G116" s="35"/>
      <c r="H116" s="51" t="s">
        <v>341</v>
      </c>
      <c r="I116" s="3"/>
      <c r="J116" s="331">
        <f t="shared" si="14"/>
        <v>0</v>
      </c>
      <c r="K116" s="331">
        <f t="shared" si="8"/>
        <v>0</v>
      </c>
      <c r="L116" s="326">
        <f>K116*係数!$I$30</f>
        <v>0</v>
      </c>
      <c r="M116" s="326">
        <f>K116*係数!$C$30*0.0000258</f>
        <v>0</v>
      </c>
      <c r="N116" s="10"/>
      <c r="O116" s="3"/>
      <c r="P116" s="483"/>
      <c r="Q116" s="51" t="s">
        <v>341</v>
      </c>
      <c r="R116" s="3"/>
      <c r="S116" s="329">
        <f t="shared" si="9"/>
        <v>0</v>
      </c>
      <c r="T116" s="327">
        <f t="shared" si="10"/>
        <v>0</v>
      </c>
      <c r="U116" s="326">
        <f>T116*係数!$I$30</f>
        <v>0</v>
      </c>
      <c r="V116" s="326">
        <f>T116*係数!$C$30*0.0000258</f>
        <v>0</v>
      </c>
      <c r="W116" s="282">
        <f t="shared" si="11"/>
        <v>0</v>
      </c>
      <c r="X116" s="337">
        <f t="shared" si="12"/>
        <v>0</v>
      </c>
      <c r="Y116" s="244">
        <f t="shared" si="13"/>
        <v>0</v>
      </c>
    </row>
    <row r="117" spans="2:25">
      <c r="B117" s="59" t="s">
        <v>396</v>
      </c>
      <c r="C117" s="10"/>
      <c r="D117" s="3"/>
      <c r="E117" s="483"/>
      <c r="F117" s="35"/>
      <c r="G117" s="35"/>
      <c r="H117" s="51" t="s">
        <v>341</v>
      </c>
      <c r="I117" s="3"/>
      <c r="J117" s="331">
        <f t="shared" si="14"/>
        <v>0</v>
      </c>
      <c r="K117" s="331">
        <f t="shared" si="8"/>
        <v>0</v>
      </c>
      <c r="L117" s="326">
        <f>K117*係数!$I$30</f>
        <v>0</v>
      </c>
      <c r="M117" s="326">
        <f>K117*係数!$C$30*0.0000258</f>
        <v>0</v>
      </c>
      <c r="N117" s="10"/>
      <c r="O117" s="3"/>
      <c r="P117" s="483"/>
      <c r="Q117" s="51" t="s">
        <v>341</v>
      </c>
      <c r="R117" s="3"/>
      <c r="S117" s="329">
        <f t="shared" si="9"/>
        <v>0</v>
      </c>
      <c r="T117" s="327">
        <f t="shared" si="10"/>
        <v>0</v>
      </c>
      <c r="U117" s="326">
        <f>T117*係数!$I$30</f>
        <v>0</v>
      </c>
      <c r="V117" s="326">
        <f>T117*係数!$C$30*0.0000258</f>
        <v>0</v>
      </c>
      <c r="W117" s="282">
        <f t="shared" si="11"/>
        <v>0</v>
      </c>
      <c r="X117" s="337">
        <f t="shared" si="12"/>
        <v>0</v>
      </c>
      <c r="Y117" s="244">
        <f t="shared" si="13"/>
        <v>0</v>
      </c>
    </row>
    <row r="118" spans="2:25">
      <c r="B118" s="59" t="s">
        <v>397</v>
      </c>
      <c r="C118" s="10"/>
      <c r="D118" s="3"/>
      <c r="E118" s="483"/>
      <c r="F118" s="35"/>
      <c r="G118" s="35"/>
      <c r="H118" s="51" t="s">
        <v>341</v>
      </c>
      <c r="I118" s="3"/>
      <c r="J118" s="331">
        <f t="shared" si="14"/>
        <v>0</v>
      </c>
      <c r="K118" s="331">
        <f t="shared" si="8"/>
        <v>0</v>
      </c>
      <c r="L118" s="326">
        <f>K118*係数!$I$30</f>
        <v>0</v>
      </c>
      <c r="M118" s="326">
        <f>K118*係数!$C$30*0.0000258</f>
        <v>0</v>
      </c>
      <c r="N118" s="10"/>
      <c r="O118" s="3"/>
      <c r="P118" s="483"/>
      <c r="Q118" s="51" t="s">
        <v>341</v>
      </c>
      <c r="R118" s="3"/>
      <c r="S118" s="329">
        <f t="shared" si="9"/>
        <v>0</v>
      </c>
      <c r="T118" s="327">
        <f t="shared" si="10"/>
        <v>0</v>
      </c>
      <c r="U118" s="326">
        <f>T118*係数!$I$30</f>
        <v>0</v>
      </c>
      <c r="V118" s="326">
        <f>T118*係数!$C$30*0.0000258</f>
        <v>0</v>
      </c>
      <c r="W118" s="282">
        <f t="shared" si="11"/>
        <v>0</v>
      </c>
      <c r="X118" s="337">
        <f t="shared" si="12"/>
        <v>0</v>
      </c>
      <c r="Y118" s="244">
        <f t="shared" si="13"/>
        <v>0</v>
      </c>
    </row>
    <row r="119" spans="2:25">
      <c r="B119" s="59" t="s">
        <v>398</v>
      </c>
      <c r="C119" s="10"/>
      <c r="D119" s="3"/>
      <c r="E119" s="483"/>
      <c r="F119" s="35"/>
      <c r="G119" s="35"/>
      <c r="H119" s="51" t="s">
        <v>341</v>
      </c>
      <c r="I119" s="3"/>
      <c r="J119" s="331">
        <f t="shared" si="14"/>
        <v>0</v>
      </c>
      <c r="K119" s="331">
        <f t="shared" si="8"/>
        <v>0</v>
      </c>
      <c r="L119" s="326">
        <f>K119*係数!$I$30</f>
        <v>0</v>
      </c>
      <c r="M119" s="326">
        <f>K119*係数!$C$30*0.0000258</f>
        <v>0</v>
      </c>
      <c r="N119" s="10"/>
      <c r="O119" s="3"/>
      <c r="P119" s="483"/>
      <c r="Q119" s="51" t="s">
        <v>341</v>
      </c>
      <c r="R119" s="3"/>
      <c r="S119" s="329">
        <f t="shared" si="9"/>
        <v>0</v>
      </c>
      <c r="T119" s="327">
        <f t="shared" si="10"/>
        <v>0</v>
      </c>
      <c r="U119" s="326">
        <f>T119*係数!$I$30</f>
        <v>0</v>
      </c>
      <c r="V119" s="326">
        <f>T119*係数!$C$30*0.0000258</f>
        <v>0</v>
      </c>
      <c r="W119" s="282">
        <f t="shared" si="11"/>
        <v>0</v>
      </c>
      <c r="X119" s="337">
        <f t="shared" si="12"/>
        <v>0</v>
      </c>
      <c r="Y119" s="244">
        <f t="shared" si="13"/>
        <v>0</v>
      </c>
    </row>
    <row r="120" spans="2:25">
      <c r="B120" s="59" t="s">
        <v>399</v>
      </c>
      <c r="C120" s="10"/>
      <c r="D120" s="3"/>
      <c r="E120" s="483"/>
      <c r="F120" s="35"/>
      <c r="G120" s="35"/>
      <c r="H120" s="51" t="s">
        <v>341</v>
      </c>
      <c r="I120" s="3"/>
      <c r="J120" s="331">
        <f t="shared" si="14"/>
        <v>0</v>
      </c>
      <c r="K120" s="331">
        <f t="shared" si="8"/>
        <v>0</v>
      </c>
      <c r="L120" s="326">
        <f>K120*係数!$I$30</f>
        <v>0</v>
      </c>
      <c r="M120" s="326">
        <f>K120*係数!$C$30*0.0000258</f>
        <v>0</v>
      </c>
      <c r="N120" s="10"/>
      <c r="O120" s="3"/>
      <c r="P120" s="483"/>
      <c r="Q120" s="51" t="s">
        <v>341</v>
      </c>
      <c r="R120" s="3"/>
      <c r="S120" s="329">
        <f t="shared" si="9"/>
        <v>0</v>
      </c>
      <c r="T120" s="327">
        <f t="shared" si="10"/>
        <v>0</v>
      </c>
      <c r="U120" s="326">
        <f>T120*係数!$I$30</f>
        <v>0</v>
      </c>
      <c r="V120" s="326">
        <f>T120*係数!$C$30*0.0000258</f>
        <v>0</v>
      </c>
      <c r="W120" s="282">
        <f t="shared" si="11"/>
        <v>0</v>
      </c>
      <c r="X120" s="337">
        <f t="shared" si="12"/>
        <v>0</v>
      </c>
      <c r="Y120" s="244">
        <f t="shared" si="13"/>
        <v>0</v>
      </c>
    </row>
    <row r="121" spans="2:25">
      <c r="B121" s="59" t="s">
        <v>400</v>
      </c>
      <c r="C121" s="10"/>
      <c r="D121" s="3"/>
      <c r="E121" s="483"/>
      <c r="F121" s="35"/>
      <c r="G121" s="35"/>
      <c r="H121" s="51" t="s">
        <v>341</v>
      </c>
      <c r="I121" s="3"/>
      <c r="J121" s="331">
        <f t="shared" si="14"/>
        <v>0</v>
      </c>
      <c r="K121" s="331">
        <f t="shared" si="8"/>
        <v>0</v>
      </c>
      <c r="L121" s="326">
        <f>K121*係数!$I$30</f>
        <v>0</v>
      </c>
      <c r="M121" s="326">
        <f>K121*係数!$C$30*0.0000258</f>
        <v>0</v>
      </c>
      <c r="N121" s="10"/>
      <c r="O121" s="3"/>
      <c r="P121" s="483"/>
      <c r="Q121" s="51" t="s">
        <v>341</v>
      </c>
      <c r="R121" s="3"/>
      <c r="S121" s="329">
        <f t="shared" si="9"/>
        <v>0</v>
      </c>
      <c r="T121" s="327">
        <f t="shared" si="10"/>
        <v>0</v>
      </c>
      <c r="U121" s="326">
        <f>T121*係数!$I$30</f>
        <v>0</v>
      </c>
      <c r="V121" s="326">
        <f>T121*係数!$C$30*0.0000258</f>
        <v>0</v>
      </c>
      <c r="W121" s="282">
        <f t="shared" si="11"/>
        <v>0</v>
      </c>
      <c r="X121" s="337">
        <f t="shared" si="12"/>
        <v>0</v>
      </c>
      <c r="Y121" s="244">
        <f t="shared" si="13"/>
        <v>0</v>
      </c>
    </row>
    <row r="122" spans="2:25">
      <c r="B122" s="59" t="s">
        <v>401</v>
      </c>
      <c r="C122" s="10"/>
      <c r="D122" s="3"/>
      <c r="E122" s="483"/>
      <c r="F122" s="35"/>
      <c r="G122" s="35"/>
      <c r="H122" s="51" t="s">
        <v>341</v>
      </c>
      <c r="I122" s="3"/>
      <c r="J122" s="331">
        <f t="shared" si="14"/>
        <v>0</v>
      </c>
      <c r="K122" s="331">
        <f t="shared" si="8"/>
        <v>0</v>
      </c>
      <c r="L122" s="326">
        <f>K122*係数!$I$30</f>
        <v>0</v>
      </c>
      <c r="M122" s="326">
        <f>K122*係数!$C$30*0.0000258</f>
        <v>0</v>
      </c>
      <c r="N122" s="10"/>
      <c r="O122" s="3"/>
      <c r="P122" s="483"/>
      <c r="Q122" s="51" t="s">
        <v>341</v>
      </c>
      <c r="R122" s="3"/>
      <c r="S122" s="329">
        <f t="shared" si="9"/>
        <v>0</v>
      </c>
      <c r="T122" s="327">
        <f t="shared" si="10"/>
        <v>0</v>
      </c>
      <c r="U122" s="326">
        <f>T122*係数!$I$30</f>
        <v>0</v>
      </c>
      <c r="V122" s="326">
        <f>T122*係数!$C$30*0.0000258</f>
        <v>0</v>
      </c>
      <c r="W122" s="282">
        <f t="shared" si="11"/>
        <v>0</v>
      </c>
      <c r="X122" s="337">
        <f t="shared" si="12"/>
        <v>0</v>
      </c>
      <c r="Y122" s="244">
        <f t="shared" si="13"/>
        <v>0</v>
      </c>
    </row>
    <row r="123" spans="2:25">
      <c r="B123" s="59" t="s">
        <v>402</v>
      </c>
      <c r="C123" s="10"/>
      <c r="D123" s="3"/>
      <c r="E123" s="483"/>
      <c r="F123" s="35"/>
      <c r="G123" s="35"/>
      <c r="H123" s="51" t="s">
        <v>341</v>
      </c>
      <c r="I123" s="3"/>
      <c r="J123" s="331">
        <f t="shared" si="14"/>
        <v>0</v>
      </c>
      <c r="K123" s="331">
        <f t="shared" si="8"/>
        <v>0</v>
      </c>
      <c r="L123" s="326">
        <f>K123*係数!$I$30</f>
        <v>0</v>
      </c>
      <c r="M123" s="326">
        <f>K123*係数!$C$30*0.0000258</f>
        <v>0</v>
      </c>
      <c r="N123" s="10"/>
      <c r="O123" s="3"/>
      <c r="P123" s="483"/>
      <c r="Q123" s="51" t="s">
        <v>341</v>
      </c>
      <c r="R123" s="3"/>
      <c r="S123" s="329">
        <f t="shared" si="9"/>
        <v>0</v>
      </c>
      <c r="T123" s="327">
        <f t="shared" si="10"/>
        <v>0</v>
      </c>
      <c r="U123" s="326">
        <f>T123*係数!$I$30</f>
        <v>0</v>
      </c>
      <c r="V123" s="326">
        <f>T123*係数!$C$30*0.0000258</f>
        <v>0</v>
      </c>
      <c r="W123" s="282">
        <f t="shared" si="11"/>
        <v>0</v>
      </c>
      <c r="X123" s="337">
        <f t="shared" si="12"/>
        <v>0</v>
      </c>
      <c r="Y123" s="244">
        <f t="shared" si="13"/>
        <v>0</v>
      </c>
    </row>
    <row r="124" spans="2:25">
      <c r="B124" s="59" t="s">
        <v>403</v>
      </c>
      <c r="C124" s="10"/>
      <c r="D124" s="3"/>
      <c r="E124" s="483"/>
      <c r="F124" s="35"/>
      <c r="G124" s="35"/>
      <c r="H124" s="51" t="s">
        <v>341</v>
      </c>
      <c r="I124" s="3"/>
      <c r="J124" s="331">
        <f t="shared" si="14"/>
        <v>0</v>
      </c>
      <c r="K124" s="331">
        <f t="shared" si="8"/>
        <v>0</v>
      </c>
      <c r="L124" s="326">
        <f>K124*係数!$I$30</f>
        <v>0</v>
      </c>
      <c r="M124" s="326">
        <f>K124*係数!$C$30*0.0000258</f>
        <v>0</v>
      </c>
      <c r="N124" s="10"/>
      <c r="O124" s="3"/>
      <c r="P124" s="483"/>
      <c r="Q124" s="51" t="s">
        <v>341</v>
      </c>
      <c r="R124" s="3"/>
      <c r="S124" s="329">
        <f t="shared" si="9"/>
        <v>0</v>
      </c>
      <c r="T124" s="327">
        <f t="shared" si="10"/>
        <v>0</v>
      </c>
      <c r="U124" s="326">
        <f>T124*係数!$I$30</f>
        <v>0</v>
      </c>
      <c r="V124" s="326">
        <f>T124*係数!$C$30*0.0000258</f>
        <v>0</v>
      </c>
      <c r="W124" s="282">
        <f t="shared" si="11"/>
        <v>0</v>
      </c>
      <c r="X124" s="337">
        <f t="shared" si="12"/>
        <v>0</v>
      </c>
      <c r="Y124" s="244">
        <f t="shared" si="13"/>
        <v>0</v>
      </c>
    </row>
    <row r="125" spans="2:25">
      <c r="B125" s="59" t="s">
        <v>404</v>
      </c>
      <c r="C125" s="10"/>
      <c r="D125" s="3"/>
      <c r="E125" s="483"/>
      <c r="F125" s="35"/>
      <c r="G125" s="35"/>
      <c r="H125" s="51" t="s">
        <v>341</v>
      </c>
      <c r="I125" s="3"/>
      <c r="J125" s="331">
        <f t="shared" si="14"/>
        <v>0</v>
      </c>
      <c r="K125" s="331">
        <f t="shared" si="8"/>
        <v>0</v>
      </c>
      <c r="L125" s="326">
        <f>K125*係数!$I$30</f>
        <v>0</v>
      </c>
      <c r="M125" s="326">
        <f>K125*係数!$C$30*0.0000258</f>
        <v>0</v>
      </c>
      <c r="N125" s="10"/>
      <c r="O125" s="3"/>
      <c r="P125" s="483"/>
      <c r="Q125" s="51" t="s">
        <v>341</v>
      </c>
      <c r="R125" s="3"/>
      <c r="S125" s="329">
        <f t="shared" si="9"/>
        <v>0</v>
      </c>
      <c r="T125" s="327">
        <f t="shared" si="10"/>
        <v>0</v>
      </c>
      <c r="U125" s="326">
        <f>T125*係数!$I$30</f>
        <v>0</v>
      </c>
      <c r="V125" s="326">
        <f>T125*係数!$C$30*0.0000258</f>
        <v>0</v>
      </c>
      <c r="W125" s="282">
        <f t="shared" si="11"/>
        <v>0</v>
      </c>
      <c r="X125" s="337">
        <f t="shared" si="12"/>
        <v>0</v>
      </c>
      <c r="Y125" s="244">
        <f t="shared" si="13"/>
        <v>0</v>
      </c>
    </row>
    <row r="126" spans="2:25">
      <c r="B126" s="59" t="s">
        <v>405</v>
      </c>
      <c r="C126" s="10"/>
      <c r="D126" s="3"/>
      <c r="E126" s="483"/>
      <c r="F126" s="35"/>
      <c r="G126" s="35"/>
      <c r="H126" s="51" t="s">
        <v>341</v>
      </c>
      <c r="I126" s="3"/>
      <c r="J126" s="331">
        <f t="shared" si="14"/>
        <v>0</v>
      </c>
      <c r="K126" s="331">
        <f t="shared" si="8"/>
        <v>0</v>
      </c>
      <c r="L126" s="326">
        <f>K126*係数!$I$30</f>
        <v>0</v>
      </c>
      <c r="M126" s="326">
        <f>K126*係数!$C$30*0.0000258</f>
        <v>0</v>
      </c>
      <c r="N126" s="10"/>
      <c r="O126" s="3"/>
      <c r="P126" s="483"/>
      <c r="Q126" s="51" t="s">
        <v>341</v>
      </c>
      <c r="R126" s="3"/>
      <c r="S126" s="329">
        <f t="shared" si="9"/>
        <v>0</v>
      </c>
      <c r="T126" s="327">
        <f t="shared" si="10"/>
        <v>0</v>
      </c>
      <c r="U126" s="326">
        <f>T126*係数!$I$30</f>
        <v>0</v>
      </c>
      <c r="V126" s="326">
        <f>T126*係数!$C$30*0.0000258</f>
        <v>0</v>
      </c>
      <c r="W126" s="282">
        <f t="shared" si="11"/>
        <v>0</v>
      </c>
      <c r="X126" s="337">
        <f t="shared" si="12"/>
        <v>0</v>
      </c>
      <c r="Y126" s="244">
        <f t="shared" si="13"/>
        <v>0</v>
      </c>
    </row>
    <row r="127" spans="2:25">
      <c r="B127" s="59" t="s">
        <v>406</v>
      </c>
      <c r="C127" s="10"/>
      <c r="D127" s="3"/>
      <c r="E127" s="483"/>
      <c r="F127" s="35"/>
      <c r="G127" s="35"/>
      <c r="H127" s="51" t="s">
        <v>341</v>
      </c>
      <c r="I127" s="3"/>
      <c r="J127" s="331">
        <f t="shared" si="14"/>
        <v>0</v>
      </c>
      <c r="K127" s="331">
        <f t="shared" si="8"/>
        <v>0</v>
      </c>
      <c r="L127" s="326">
        <f>K127*係数!$I$30</f>
        <v>0</v>
      </c>
      <c r="M127" s="326">
        <f>K127*係数!$C$30*0.0000258</f>
        <v>0</v>
      </c>
      <c r="N127" s="10"/>
      <c r="O127" s="3"/>
      <c r="P127" s="483"/>
      <c r="Q127" s="51" t="s">
        <v>341</v>
      </c>
      <c r="R127" s="3"/>
      <c r="S127" s="329">
        <f t="shared" si="9"/>
        <v>0</v>
      </c>
      <c r="T127" s="327">
        <f t="shared" si="10"/>
        <v>0</v>
      </c>
      <c r="U127" s="326">
        <f>T127*係数!$I$30</f>
        <v>0</v>
      </c>
      <c r="V127" s="326">
        <f>T127*係数!$C$30*0.0000258</f>
        <v>0</v>
      </c>
      <c r="W127" s="282">
        <f t="shared" si="11"/>
        <v>0</v>
      </c>
      <c r="X127" s="337">
        <f t="shared" si="12"/>
        <v>0</v>
      </c>
      <c r="Y127" s="244">
        <f t="shared" si="13"/>
        <v>0</v>
      </c>
    </row>
    <row r="128" spans="2:25">
      <c r="B128" s="59" t="s">
        <v>407</v>
      </c>
      <c r="C128" s="10"/>
      <c r="D128" s="3"/>
      <c r="E128" s="483"/>
      <c r="F128" s="35"/>
      <c r="G128" s="35"/>
      <c r="H128" s="51" t="s">
        <v>341</v>
      </c>
      <c r="I128" s="3"/>
      <c r="J128" s="331">
        <f t="shared" si="14"/>
        <v>0</v>
      </c>
      <c r="K128" s="331">
        <f t="shared" si="8"/>
        <v>0</v>
      </c>
      <c r="L128" s="326">
        <f>K128*係数!$I$30</f>
        <v>0</v>
      </c>
      <c r="M128" s="326">
        <f>K128*係数!$C$30*0.0000258</f>
        <v>0</v>
      </c>
      <c r="N128" s="10"/>
      <c r="O128" s="3"/>
      <c r="P128" s="483"/>
      <c r="Q128" s="51" t="s">
        <v>341</v>
      </c>
      <c r="R128" s="3"/>
      <c r="S128" s="329">
        <f t="shared" si="9"/>
        <v>0</v>
      </c>
      <c r="T128" s="327">
        <f t="shared" si="10"/>
        <v>0</v>
      </c>
      <c r="U128" s="326">
        <f>T128*係数!$I$30</f>
        <v>0</v>
      </c>
      <c r="V128" s="326">
        <f>T128*係数!$C$30*0.0000258</f>
        <v>0</v>
      </c>
      <c r="W128" s="282">
        <f t="shared" si="11"/>
        <v>0</v>
      </c>
      <c r="X128" s="337">
        <f t="shared" si="12"/>
        <v>0</v>
      </c>
      <c r="Y128" s="244">
        <f t="shared" si="13"/>
        <v>0</v>
      </c>
    </row>
    <row r="129" spans="2:25">
      <c r="B129" s="59" t="s">
        <v>408</v>
      </c>
      <c r="C129" s="10"/>
      <c r="D129" s="3"/>
      <c r="E129" s="483"/>
      <c r="F129" s="35"/>
      <c r="G129" s="35"/>
      <c r="H129" s="51" t="s">
        <v>341</v>
      </c>
      <c r="I129" s="3"/>
      <c r="J129" s="331">
        <f t="shared" si="14"/>
        <v>0</v>
      </c>
      <c r="K129" s="331">
        <f t="shared" si="8"/>
        <v>0</v>
      </c>
      <c r="L129" s="326">
        <f>K129*係数!$I$30</f>
        <v>0</v>
      </c>
      <c r="M129" s="326">
        <f>K129*係数!$C$30*0.0000258</f>
        <v>0</v>
      </c>
      <c r="N129" s="10"/>
      <c r="O129" s="3"/>
      <c r="P129" s="483"/>
      <c r="Q129" s="51" t="s">
        <v>341</v>
      </c>
      <c r="R129" s="3"/>
      <c r="S129" s="329">
        <f t="shared" si="9"/>
        <v>0</v>
      </c>
      <c r="T129" s="327">
        <f t="shared" si="10"/>
        <v>0</v>
      </c>
      <c r="U129" s="326">
        <f>T129*係数!$I$30</f>
        <v>0</v>
      </c>
      <c r="V129" s="326">
        <f>T129*係数!$C$30*0.0000258</f>
        <v>0</v>
      </c>
      <c r="W129" s="282">
        <f t="shared" si="11"/>
        <v>0</v>
      </c>
      <c r="X129" s="337">
        <f t="shared" si="12"/>
        <v>0</v>
      </c>
      <c r="Y129" s="244">
        <f t="shared" si="13"/>
        <v>0</v>
      </c>
    </row>
    <row r="130" spans="2:25">
      <c r="B130" s="59" t="s">
        <v>409</v>
      </c>
      <c r="C130" s="10"/>
      <c r="D130" s="3"/>
      <c r="E130" s="483"/>
      <c r="F130" s="35"/>
      <c r="G130" s="35"/>
      <c r="H130" s="51" t="s">
        <v>341</v>
      </c>
      <c r="I130" s="3"/>
      <c r="J130" s="331">
        <f t="shared" si="14"/>
        <v>0</v>
      </c>
      <c r="K130" s="331">
        <f t="shared" si="8"/>
        <v>0</v>
      </c>
      <c r="L130" s="326">
        <f>K130*係数!$I$30</f>
        <v>0</v>
      </c>
      <c r="M130" s="326">
        <f>K130*係数!$C$30*0.0000258</f>
        <v>0</v>
      </c>
      <c r="N130" s="10"/>
      <c r="O130" s="3"/>
      <c r="P130" s="483"/>
      <c r="Q130" s="51" t="s">
        <v>341</v>
      </c>
      <c r="R130" s="3"/>
      <c r="S130" s="329">
        <f t="shared" si="9"/>
        <v>0</v>
      </c>
      <c r="T130" s="327">
        <f t="shared" si="10"/>
        <v>0</v>
      </c>
      <c r="U130" s="326">
        <f>T130*係数!$I$30</f>
        <v>0</v>
      </c>
      <c r="V130" s="326">
        <f>T130*係数!$C$30*0.0000258</f>
        <v>0</v>
      </c>
      <c r="W130" s="282">
        <f t="shared" si="11"/>
        <v>0</v>
      </c>
      <c r="X130" s="337">
        <f t="shared" si="12"/>
        <v>0</v>
      </c>
      <c r="Y130" s="244">
        <f t="shared" si="13"/>
        <v>0</v>
      </c>
    </row>
    <row r="131" spans="2:25">
      <c r="B131" s="59" t="s">
        <v>410</v>
      </c>
      <c r="C131" s="10"/>
      <c r="D131" s="3"/>
      <c r="E131" s="483"/>
      <c r="F131" s="35"/>
      <c r="G131" s="35"/>
      <c r="H131" s="51" t="s">
        <v>341</v>
      </c>
      <c r="I131" s="3"/>
      <c r="J131" s="331">
        <f t="shared" si="14"/>
        <v>0</v>
      </c>
      <c r="K131" s="331">
        <f t="shared" si="8"/>
        <v>0</v>
      </c>
      <c r="L131" s="326">
        <f>K131*係数!$I$30</f>
        <v>0</v>
      </c>
      <c r="M131" s="326">
        <f>K131*係数!$C$30*0.0000258</f>
        <v>0</v>
      </c>
      <c r="N131" s="10"/>
      <c r="O131" s="3"/>
      <c r="P131" s="483"/>
      <c r="Q131" s="51" t="s">
        <v>341</v>
      </c>
      <c r="R131" s="3"/>
      <c r="S131" s="329">
        <f t="shared" si="9"/>
        <v>0</v>
      </c>
      <c r="T131" s="327">
        <f t="shared" si="10"/>
        <v>0</v>
      </c>
      <c r="U131" s="326">
        <f>T131*係数!$I$30</f>
        <v>0</v>
      </c>
      <c r="V131" s="326">
        <f>T131*係数!$C$30*0.0000258</f>
        <v>0</v>
      </c>
      <c r="W131" s="282">
        <f t="shared" si="11"/>
        <v>0</v>
      </c>
      <c r="X131" s="337">
        <f t="shared" si="12"/>
        <v>0</v>
      </c>
      <c r="Y131" s="244">
        <f t="shared" si="13"/>
        <v>0</v>
      </c>
    </row>
    <row r="132" spans="2:25">
      <c r="B132" s="59" t="s">
        <v>411</v>
      </c>
      <c r="C132" s="10"/>
      <c r="D132" s="3"/>
      <c r="E132" s="483"/>
      <c r="F132" s="35"/>
      <c r="G132" s="35"/>
      <c r="H132" s="51" t="s">
        <v>341</v>
      </c>
      <c r="I132" s="3"/>
      <c r="J132" s="331">
        <f t="shared" si="14"/>
        <v>0</v>
      </c>
      <c r="K132" s="331">
        <f t="shared" si="8"/>
        <v>0</v>
      </c>
      <c r="L132" s="326">
        <f>K132*係数!$I$30</f>
        <v>0</v>
      </c>
      <c r="M132" s="326">
        <f>K132*係数!$C$30*0.0000258</f>
        <v>0</v>
      </c>
      <c r="N132" s="10"/>
      <c r="O132" s="3"/>
      <c r="P132" s="483"/>
      <c r="Q132" s="51" t="s">
        <v>341</v>
      </c>
      <c r="R132" s="3"/>
      <c r="S132" s="329">
        <f t="shared" si="9"/>
        <v>0</v>
      </c>
      <c r="T132" s="327">
        <f t="shared" si="10"/>
        <v>0</v>
      </c>
      <c r="U132" s="326">
        <f>T132*係数!$I$30</f>
        <v>0</v>
      </c>
      <c r="V132" s="326">
        <f>T132*係数!$C$30*0.0000258</f>
        <v>0</v>
      </c>
      <c r="W132" s="282">
        <f t="shared" si="11"/>
        <v>0</v>
      </c>
      <c r="X132" s="337">
        <f t="shared" si="12"/>
        <v>0</v>
      </c>
      <c r="Y132" s="244">
        <f t="shared" si="13"/>
        <v>0</v>
      </c>
    </row>
    <row r="133" spans="2:25">
      <c r="B133" s="59" t="s">
        <v>412</v>
      </c>
      <c r="C133" s="10"/>
      <c r="D133" s="3"/>
      <c r="E133" s="483"/>
      <c r="F133" s="35"/>
      <c r="G133" s="35"/>
      <c r="H133" s="51" t="s">
        <v>341</v>
      </c>
      <c r="I133" s="3"/>
      <c r="J133" s="331">
        <f t="shared" si="14"/>
        <v>0</v>
      </c>
      <c r="K133" s="331">
        <f t="shared" si="8"/>
        <v>0</v>
      </c>
      <c r="L133" s="326">
        <f>K133*係数!$I$30</f>
        <v>0</v>
      </c>
      <c r="M133" s="326">
        <f>K133*係数!$C$30*0.0000258</f>
        <v>0</v>
      </c>
      <c r="N133" s="10"/>
      <c r="O133" s="3"/>
      <c r="P133" s="483"/>
      <c r="Q133" s="51" t="s">
        <v>341</v>
      </c>
      <c r="R133" s="3"/>
      <c r="S133" s="329">
        <f t="shared" si="9"/>
        <v>0</v>
      </c>
      <c r="T133" s="327">
        <f t="shared" si="10"/>
        <v>0</v>
      </c>
      <c r="U133" s="326">
        <f>T133*係数!$I$30</f>
        <v>0</v>
      </c>
      <c r="V133" s="326">
        <f>T133*係数!$C$30*0.0000258</f>
        <v>0</v>
      </c>
      <c r="W133" s="282">
        <f t="shared" si="11"/>
        <v>0</v>
      </c>
      <c r="X133" s="337">
        <f t="shared" si="12"/>
        <v>0</v>
      </c>
      <c r="Y133" s="244">
        <f t="shared" si="13"/>
        <v>0</v>
      </c>
    </row>
    <row r="134" spans="2:25">
      <c r="B134" s="59" t="s">
        <v>413</v>
      </c>
      <c r="C134" s="10"/>
      <c r="D134" s="3"/>
      <c r="E134" s="483"/>
      <c r="F134" s="35"/>
      <c r="G134" s="35"/>
      <c r="H134" s="51" t="s">
        <v>341</v>
      </c>
      <c r="I134" s="3"/>
      <c r="J134" s="331">
        <f t="shared" si="14"/>
        <v>0</v>
      </c>
      <c r="K134" s="331">
        <f t="shared" si="8"/>
        <v>0</v>
      </c>
      <c r="L134" s="326">
        <f>K134*係数!$I$30</f>
        <v>0</v>
      </c>
      <c r="M134" s="326">
        <f>K134*係数!$C$30*0.0000258</f>
        <v>0</v>
      </c>
      <c r="N134" s="10"/>
      <c r="O134" s="3"/>
      <c r="P134" s="483"/>
      <c r="Q134" s="51" t="s">
        <v>341</v>
      </c>
      <c r="R134" s="3"/>
      <c r="S134" s="329">
        <f t="shared" si="9"/>
        <v>0</v>
      </c>
      <c r="T134" s="327">
        <f t="shared" si="10"/>
        <v>0</v>
      </c>
      <c r="U134" s="326">
        <f>T134*係数!$I$30</f>
        <v>0</v>
      </c>
      <c r="V134" s="326">
        <f>T134*係数!$C$30*0.0000258</f>
        <v>0</v>
      </c>
      <c r="W134" s="282">
        <f t="shared" si="11"/>
        <v>0</v>
      </c>
      <c r="X134" s="337">
        <f t="shared" si="12"/>
        <v>0</v>
      </c>
      <c r="Y134" s="244">
        <f t="shared" si="13"/>
        <v>0</v>
      </c>
    </row>
    <row r="135" spans="2:25">
      <c r="B135" s="59" t="s">
        <v>414</v>
      </c>
      <c r="C135" s="10"/>
      <c r="D135" s="3"/>
      <c r="E135" s="483"/>
      <c r="F135" s="35"/>
      <c r="G135" s="35"/>
      <c r="H135" s="51" t="s">
        <v>341</v>
      </c>
      <c r="I135" s="3"/>
      <c r="J135" s="331">
        <f t="shared" si="14"/>
        <v>0</v>
      </c>
      <c r="K135" s="331">
        <f t="shared" si="8"/>
        <v>0</v>
      </c>
      <c r="L135" s="326">
        <f>K135*係数!$I$30</f>
        <v>0</v>
      </c>
      <c r="M135" s="326">
        <f>K135*係数!$C$30*0.0000258</f>
        <v>0</v>
      </c>
      <c r="N135" s="10"/>
      <c r="O135" s="3"/>
      <c r="P135" s="483"/>
      <c r="Q135" s="51" t="s">
        <v>341</v>
      </c>
      <c r="R135" s="3"/>
      <c r="S135" s="329">
        <f t="shared" si="9"/>
        <v>0</v>
      </c>
      <c r="T135" s="327">
        <f t="shared" si="10"/>
        <v>0</v>
      </c>
      <c r="U135" s="326">
        <f>T135*係数!$I$30</f>
        <v>0</v>
      </c>
      <c r="V135" s="326">
        <f>T135*係数!$C$30*0.0000258</f>
        <v>0</v>
      </c>
      <c r="W135" s="282">
        <f t="shared" si="11"/>
        <v>0</v>
      </c>
      <c r="X135" s="337">
        <f t="shared" si="12"/>
        <v>0</v>
      </c>
      <c r="Y135" s="244">
        <f t="shared" si="13"/>
        <v>0</v>
      </c>
    </row>
    <row r="136" spans="2:25">
      <c r="B136" s="59" t="s">
        <v>415</v>
      </c>
      <c r="C136" s="10"/>
      <c r="D136" s="3"/>
      <c r="E136" s="483"/>
      <c r="F136" s="35"/>
      <c r="G136" s="35"/>
      <c r="H136" s="51" t="s">
        <v>341</v>
      </c>
      <c r="I136" s="3"/>
      <c r="J136" s="331">
        <f t="shared" si="14"/>
        <v>0</v>
      </c>
      <c r="K136" s="331">
        <f t="shared" si="8"/>
        <v>0</v>
      </c>
      <c r="L136" s="326">
        <f>K136*係数!$I$30</f>
        <v>0</v>
      </c>
      <c r="M136" s="326">
        <f>K136*係数!$C$30*0.0000258</f>
        <v>0</v>
      </c>
      <c r="N136" s="10"/>
      <c r="O136" s="3"/>
      <c r="P136" s="483"/>
      <c r="Q136" s="51" t="s">
        <v>341</v>
      </c>
      <c r="R136" s="3"/>
      <c r="S136" s="329">
        <f t="shared" si="9"/>
        <v>0</v>
      </c>
      <c r="T136" s="327">
        <f t="shared" si="10"/>
        <v>0</v>
      </c>
      <c r="U136" s="326">
        <f>T136*係数!$I$30</f>
        <v>0</v>
      </c>
      <c r="V136" s="326">
        <f>T136*係数!$C$30*0.0000258</f>
        <v>0</v>
      </c>
      <c r="W136" s="282">
        <f t="shared" si="11"/>
        <v>0</v>
      </c>
      <c r="X136" s="337">
        <f t="shared" si="12"/>
        <v>0</v>
      </c>
      <c r="Y136" s="244">
        <f t="shared" si="13"/>
        <v>0</v>
      </c>
    </row>
    <row r="137" spans="2:25">
      <c r="B137" s="59" t="s">
        <v>416</v>
      </c>
      <c r="C137" s="10"/>
      <c r="D137" s="3"/>
      <c r="E137" s="483"/>
      <c r="F137" s="35"/>
      <c r="G137" s="35"/>
      <c r="H137" s="51" t="s">
        <v>341</v>
      </c>
      <c r="I137" s="3"/>
      <c r="J137" s="331">
        <f t="shared" si="14"/>
        <v>0</v>
      </c>
      <c r="K137" s="331">
        <f t="shared" si="8"/>
        <v>0</v>
      </c>
      <c r="L137" s="326">
        <f>K137*係数!$I$30</f>
        <v>0</v>
      </c>
      <c r="M137" s="326">
        <f>K137*係数!$C$30*0.0000258</f>
        <v>0</v>
      </c>
      <c r="N137" s="10"/>
      <c r="O137" s="3"/>
      <c r="P137" s="483"/>
      <c r="Q137" s="51" t="s">
        <v>341</v>
      </c>
      <c r="R137" s="3"/>
      <c r="S137" s="329">
        <f t="shared" si="9"/>
        <v>0</v>
      </c>
      <c r="T137" s="327">
        <f t="shared" si="10"/>
        <v>0</v>
      </c>
      <c r="U137" s="326">
        <f>T137*係数!$I$30</f>
        <v>0</v>
      </c>
      <c r="V137" s="326">
        <f>T137*係数!$C$30*0.0000258</f>
        <v>0</v>
      </c>
      <c r="W137" s="282">
        <f t="shared" si="11"/>
        <v>0</v>
      </c>
      <c r="X137" s="337">
        <f t="shared" si="12"/>
        <v>0</v>
      </c>
      <c r="Y137" s="244">
        <f t="shared" si="13"/>
        <v>0</v>
      </c>
    </row>
    <row r="138" spans="2:25">
      <c r="B138" s="59" t="s">
        <v>417</v>
      </c>
      <c r="C138" s="10"/>
      <c r="D138" s="3"/>
      <c r="E138" s="483"/>
      <c r="F138" s="35"/>
      <c r="G138" s="35"/>
      <c r="H138" s="51" t="s">
        <v>341</v>
      </c>
      <c r="I138" s="3"/>
      <c r="J138" s="331">
        <f t="shared" si="14"/>
        <v>0</v>
      </c>
      <c r="K138" s="331">
        <f t="shared" si="8"/>
        <v>0</v>
      </c>
      <c r="L138" s="326">
        <f>K138*係数!$I$30</f>
        <v>0</v>
      </c>
      <c r="M138" s="326">
        <f>K138*係数!$C$30*0.0000258</f>
        <v>0</v>
      </c>
      <c r="N138" s="10"/>
      <c r="O138" s="3"/>
      <c r="P138" s="483"/>
      <c r="Q138" s="51" t="s">
        <v>341</v>
      </c>
      <c r="R138" s="3"/>
      <c r="S138" s="329">
        <f t="shared" si="9"/>
        <v>0</v>
      </c>
      <c r="T138" s="327">
        <f t="shared" si="10"/>
        <v>0</v>
      </c>
      <c r="U138" s="326">
        <f>T138*係数!$I$30</f>
        <v>0</v>
      </c>
      <c r="V138" s="326">
        <f>T138*係数!$C$30*0.0000258</f>
        <v>0</v>
      </c>
      <c r="W138" s="282">
        <f t="shared" si="11"/>
        <v>0</v>
      </c>
      <c r="X138" s="337">
        <f t="shared" si="12"/>
        <v>0</v>
      </c>
      <c r="Y138" s="244">
        <f t="shared" si="13"/>
        <v>0</v>
      </c>
    </row>
    <row r="139" spans="2:25">
      <c r="B139" s="59" t="s">
        <v>418</v>
      </c>
      <c r="C139" s="10"/>
      <c r="D139" s="3"/>
      <c r="E139" s="483"/>
      <c r="F139" s="35"/>
      <c r="G139" s="35"/>
      <c r="H139" s="51" t="s">
        <v>341</v>
      </c>
      <c r="I139" s="3"/>
      <c r="J139" s="331">
        <f t="shared" si="14"/>
        <v>0</v>
      </c>
      <c r="K139" s="331">
        <f t="shared" si="8"/>
        <v>0</v>
      </c>
      <c r="L139" s="326">
        <f>K139*係数!$I$30</f>
        <v>0</v>
      </c>
      <c r="M139" s="326">
        <f>K139*係数!$C$30*0.0000258</f>
        <v>0</v>
      </c>
      <c r="N139" s="10"/>
      <c r="O139" s="3"/>
      <c r="P139" s="483"/>
      <c r="Q139" s="51" t="s">
        <v>341</v>
      </c>
      <c r="R139" s="3"/>
      <c r="S139" s="329">
        <f t="shared" si="9"/>
        <v>0</v>
      </c>
      <c r="T139" s="327">
        <f t="shared" si="10"/>
        <v>0</v>
      </c>
      <c r="U139" s="326">
        <f>T139*係数!$I$30</f>
        <v>0</v>
      </c>
      <c r="V139" s="326">
        <f>T139*係数!$C$30*0.0000258</f>
        <v>0</v>
      </c>
      <c r="W139" s="282">
        <f t="shared" si="11"/>
        <v>0</v>
      </c>
      <c r="X139" s="337">
        <f t="shared" si="12"/>
        <v>0</v>
      </c>
      <c r="Y139" s="244">
        <f t="shared" si="13"/>
        <v>0</v>
      </c>
    </row>
    <row r="140" spans="2:25">
      <c r="B140" s="59" t="s">
        <v>419</v>
      </c>
      <c r="C140" s="10"/>
      <c r="D140" s="3"/>
      <c r="E140" s="483"/>
      <c r="F140" s="35"/>
      <c r="G140" s="35"/>
      <c r="H140" s="51" t="s">
        <v>341</v>
      </c>
      <c r="I140" s="3"/>
      <c r="J140" s="331">
        <f t="shared" si="14"/>
        <v>0</v>
      </c>
      <c r="K140" s="331">
        <f t="shared" si="8"/>
        <v>0</v>
      </c>
      <c r="L140" s="326">
        <f>K140*係数!$I$30</f>
        <v>0</v>
      </c>
      <c r="M140" s="326">
        <f>K140*係数!$C$30*0.0000258</f>
        <v>0</v>
      </c>
      <c r="N140" s="10"/>
      <c r="O140" s="3"/>
      <c r="P140" s="483"/>
      <c r="Q140" s="51" t="s">
        <v>341</v>
      </c>
      <c r="R140" s="3"/>
      <c r="S140" s="329">
        <f t="shared" si="9"/>
        <v>0</v>
      </c>
      <c r="T140" s="327">
        <f t="shared" si="10"/>
        <v>0</v>
      </c>
      <c r="U140" s="326">
        <f>T140*係数!$I$30</f>
        <v>0</v>
      </c>
      <c r="V140" s="326">
        <f>T140*係数!$C$30*0.0000258</f>
        <v>0</v>
      </c>
      <c r="W140" s="282">
        <f t="shared" si="11"/>
        <v>0</v>
      </c>
      <c r="X140" s="337">
        <f t="shared" si="12"/>
        <v>0</v>
      </c>
      <c r="Y140" s="244">
        <f t="shared" si="13"/>
        <v>0</v>
      </c>
    </row>
    <row r="141" spans="2:25">
      <c r="B141" s="59" t="s">
        <v>420</v>
      </c>
      <c r="C141" s="10"/>
      <c r="D141" s="3"/>
      <c r="E141" s="483"/>
      <c r="F141" s="35"/>
      <c r="G141" s="35"/>
      <c r="H141" s="51" t="s">
        <v>341</v>
      </c>
      <c r="I141" s="3"/>
      <c r="J141" s="331">
        <f t="shared" si="14"/>
        <v>0</v>
      </c>
      <c r="K141" s="331">
        <f t="shared" si="8"/>
        <v>0</v>
      </c>
      <c r="L141" s="326">
        <f>K141*係数!$I$30</f>
        <v>0</v>
      </c>
      <c r="M141" s="326">
        <f>K141*係数!$C$30*0.0000258</f>
        <v>0</v>
      </c>
      <c r="N141" s="10"/>
      <c r="O141" s="3"/>
      <c r="P141" s="483"/>
      <c r="Q141" s="51" t="s">
        <v>341</v>
      </c>
      <c r="R141" s="3"/>
      <c r="S141" s="329">
        <f t="shared" si="9"/>
        <v>0</v>
      </c>
      <c r="T141" s="327">
        <f t="shared" si="10"/>
        <v>0</v>
      </c>
      <c r="U141" s="326">
        <f>T141*係数!$I$30</f>
        <v>0</v>
      </c>
      <c r="V141" s="326">
        <f>T141*係数!$C$30*0.0000258</f>
        <v>0</v>
      </c>
      <c r="W141" s="282">
        <f t="shared" si="11"/>
        <v>0</v>
      </c>
      <c r="X141" s="337">
        <f t="shared" si="12"/>
        <v>0</v>
      </c>
      <c r="Y141" s="244">
        <f t="shared" si="13"/>
        <v>0</v>
      </c>
    </row>
    <row r="142" spans="2:25">
      <c r="B142" s="59" t="s">
        <v>421</v>
      </c>
      <c r="C142" s="10"/>
      <c r="D142" s="3"/>
      <c r="E142" s="483"/>
      <c r="F142" s="35"/>
      <c r="G142" s="35"/>
      <c r="H142" s="51" t="s">
        <v>341</v>
      </c>
      <c r="I142" s="3"/>
      <c r="J142" s="331">
        <f t="shared" si="14"/>
        <v>0</v>
      </c>
      <c r="K142" s="331">
        <f t="shared" si="8"/>
        <v>0</v>
      </c>
      <c r="L142" s="326">
        <f>K142*係数!$I$30</f>
        <v>0</v>
      </c>
      <c r="M142" s="326">
        <f>K142*係数!$C$30*0.0000258</f>
        <v>0</v>
      </c>
      <c r="N142" s="10"/>
      <c r="O142" s="3"/>
      <c r="P142" s="483"/>
      <c r="Q142" s="51" t="s">
        <v>341</v>
      </c>
      <c r="R142" s="3"/>
      <c r="S142" s="329">
        <f t="shared" si="9"/>
        <v>0</v>
      </c>
      <c r="T142" s="327">
        <f t="shared" si="10"/>
        <v>0</v>
      </c>
      <c r="U142" s="326">
        <f>T142*係数!$I$30</f>
        <v>0</v>
      </c>
      <c r="V142" s="326">
        <f>T142*係数!$C$30*0.0000258</f>
        <v>0</v>
      </c>
      <c r="W142" s="282">
        <f t="shared" si="11"/>
        <v>0</v>
      </c>
      <c r="X142" s="337">
        <f t="shared" si="12"/>
        <v>0</v>
      </c>
      <c r="Y142" s="244">
        <f t="shared" si="13"/>
        <v>0</v>
      </c>
    </row>
    <row r="143" spans="2:25">
      <c r="B143" s="59" t="s">
        <v>422</v>
      </c>
      <c r="C143" s="10"/>
      <c r="D143" s="3"/>
      <c r="E143" s="483"/>
      <c r="F143" s="35"/>
      <c r="G143" s="35"/>
      <c r="H143" s="51" t="s">
        <v>341</v>
      </c>
      <c r="I143" s="3"/>
      <c r="J143" s="331">
        <f t="shared" si="14"/>
        <v>0</v>
      </c>
      <c r="K143" s="331">
        <f t="shared" si="8"/>
        <v>0</v>
      </c>
      <c r="L143" s="326">
        <f>K143*係数!$I$30</f>
        <v>0</v>
      </c>
      <c r="M143" s="326">
        <f>K143*係数!$C$30*0.0000258</f>
        <v>0</v>
      </c>
      <c r="N143" s="10"/>
      <c r="O143" s="3"/>
      <c r="P143" s="483"/>
      <c r="Q143" s="51" t="s">
        <v>341</v>
      </c>
      <c r="R143" s="3"/>
      <c r="S143" s="329">
        <f t="shared" si="9"/>
        <v>0</v>
      </c>
      <c r="T143" s="327">
        <f t="shared" si="10"/>
        <v>0</v>
      </c>
      <c r="U143" s="326">
        <f>T143*係数!$I$30</f>
        <v>0</v>
      </c>
      <c r="V143" s="326">
        <f>T143*係数!$C$30*0.0000258</f>
        <v>0</v>
      </c>
      <c r="W143" s="282">
        <f t="shared" si="11"/>
        <v>0</v>
      </c>
      <c r="X143" s="337">
        <f t="shared" si="12"/>
        <v>0</v>
      </c>
      <c r="Y143" s="244">
        <f t="shared" si="13"/>
        <v>0</v>
      </c>
    </row>
    <row r="144" spans="2:25">
      <c r="B144" s="59" t="s">
        <v>423</v>
      </c>
      <c r="C144" s="10"/>
      <c r="D144" s="3"/>
      <c r="E144" s="483"/>
      <c r="F144" s="35"/>
      <c r="G144" s="35"/>
      <c r="H144" s="51" t="s">
        <v>341</v>
      </c>
      <c r="I144" s="3"/>
      <c r="J144" s="331">
        <f t="shared" si="14"/>
        <v>0</v>
      </c>
      <c r="K144" s="331">
        <f t="shared" si="8"/>
        <v>0</v>
      </c>
      <c r="L144" s="326">
        <f>K144*係数!$I$30</f>
        <v>0</v>
      </c>
      <c r="M144" s="326">
        <f>K144*係数!$C$30*0.0000258</f>
        <v>0</v>
      </c>
      <c r="N144" s="10"/>
      <c r="O144" s="3"/>
      <c r="P144" s="483"/>
      <c r="Q144" s="51" t="s">
        <v>341</v>
      </c>
      <c r="R144" s="3"/>
      <c r="S144" s="329">
        <f t="shared" si="9"/>
        <v>0</v>
      </c>
      <c r="T144" s="327">
        <f t="shared" si="10"/>
        <v>0</v>
      </c>
      <c r="U144" s="326">
        <f>T144*係数!$I$30</f>
        <v>0</v>
      </c>
      <c r="V144" s="326">
        <f>T144*係数!$C$30*0.0000258</f>
        <v>0</v>
      </c>
      <c r="W144" s="282">
        <f t="shared" si="11"/>
        <v>0</v>
      </c>
      <c r="X144" s="337">
        <f t="shared" si="12"/>
        <v>0</v>
      </c>
      <c r="Y144" s="244">
        <f t="shared" si="13"/>
        <v>0</v>
      </c>
    </row>
    <row r="145" spans="2:25">
      <c r="B145" s="59" t="s">
        <v>424</v>
      </c>
      <c r="C145" s="10"/>
      <c r="D145" s="3"/>
      <c r="E145" s="483"/>
      <c r="F145" s="35"/>
      <c r="G145" s="35"/>
      <c r="H145" s="51" t="s">
        <v>341</v>
      </c>
      <c r="I145" s="3"/>
      <c r="J145" s="331">
        <f t="shared" si="14"/>
        <v>0</v>
      </c>
      <c r="K145" s="331">
        <f t="shared" si="8"/>
        <v>0</v>
      </c>
      <c r="L145" s="326">
        <f>K145*係数!$I$30</f>
        <v>0</v>
      </c>
      <c r="M145" s="326">
        <f>K145*係数!$C$30*0.0000258</f>
        <v>0</v>
      </c>
      <c r="N145" s="10"/>
      <c r="O145" s="3"/>
      <c r="P145" s="483"/>
      <c r="Q145" s="51" t="s">
        <v>341</v>
      </c>
      <c r="R145" s="3"/>
      <c r="S145" s="329">
        <f t="shared" si="9"/>
        <v>0</v>
      </c>
      <c r="T145" s="327">
        <f t="shared" si="10"/>
        <v>0</v>
      </c>
      <c r="U145" s="326">
        <f>T145*係数!$I$30</f>
        <v>0</v>
      </c>
      <c r="V145" s="326">
        <f>T145*係数!$C$30*0.0000258</f>
        <v>0</v>
      </c>
      <c r="W145" s="282">
        <f t="shared" si="11"/>
        <v>0</v>
      </c>
      <c r="X145" s="337">
        <f t="shared" si="12"/>
        <v>0</v>
      </c>
      <c r="Y145" s="244">
        <f t="shared" si="13"/>
        <v>0</v>
      </c>
    </row>
    <row r="146" spans="2:25">
      <c r="B146" s="59" t="s">
        <v>425</v>
      </c>
      <c r="C146" s="10"/>
      <c r="D146" s="3"/>
      <c r="E146" s="483"/>
      <c r="F146" s="35"/>
      <c r="G146" s="35"/>
      <c r="H146" s="51" t="s">
        <v>341</v>
      </c>
      <c r="I146" s="3"/>
      <c r="J146" s="331">
        <f t="shared" si="14"/>
        <v>0</v>
      </c>
      <c r="K146" s="331">
        <f t="shared" si="8"/>
        <v>0</v>
      </c>
      <c r="L146" s="326">
        <f>K146*係数!$I$30</f>
        <v>0</v>
      </c>
      <c r="M146" s="326">
        <f>K146*係数!$C$30*0.0000258</f>
        <v>0</v>
      </c>
      <c r="N146" s="10"/>
      <c r="O146" s="3"/>
      <c r="P146" s="483"/>
      <c r="Q146" s="51" t="s">
        <v>341</v>
      </c>
      <c r="R146" s="3"/>
      <c r="S146" s="329">
        <f t="shared" si="9"/>
        <v>0</v>
      </c>
      <c r="T146" s="327">
        <f t="shared" si="10"/>
        <v>0</v>
      </c>
      <c r="U146" s="326">
        <f>T146*係数!$I$30</f>
        <v>0</v>
      </c>
      <c r="V146" s="326">
        <f>T146*係数!$C$30*0.0000258</f>
        <v>0</v>
      </c>
      <c r="W146" s="282">
        <f t="shared" si="11"/>
        <v>0</v>
      </c>
      <c r="X146" s="337">
        <f t="shared" si="12"/>
        <v>0</v>
      </c>
      <c r="Y146" s="244">
        <f t="shared" si="13"/>
        <v>0</v>
      </c>
    </row>
    <row r="147" spans="2:25">
      <c r="B147" s="59" t="s">
        <v>426</v>
      </c>
      <c r="C147" s="10"/>
      <c r="D147" s="3"/>
      <c r="E147" s="483"/>
      <c r="F147" s="35"/>
      <c r="G147" s="35"/>
      <c r="H147" s="51" t="s">
        <v>341</v>
      </c>
      <c r="I147" s="3"/>
      <c r="J147" s="331">
        <f t="shared" si="14"/>
        <v>0</v>
      </c>
      <c r="K147" s="331">
        <f t="shared" si="8"/>
        <v>0</v>
      </c>
      <c r="L147" s="326">
        <f>K147*係数!$I$30</f>
        <v>0</v>
      </c>
      <c r="M147" s="326">
        <f>K147*係数!$C$30*0.0000258</f>
        <v>0</v>
      </c>
      <c r="N147" s="10"/>
      <c r="O147" s="3"/>
      <c r="P147" s="483"/>
      <c r="Q147" s="51" t="s">
        <v>341</v>
      </c>
      <c r="R147" s="3"/>
      <c r="S147" s="329">
        <f t="shared" si="9"/>
        <v>0</v>
      </c>
      <c r="T147" s="327">
        <f t="shared" si="10"/>
        <v>0</v>
      </c>
      <c r="U147" s="326">
        <f>T147*係数!$I$30</f>
        <v>0</v>
      </c>
      <c r="V147" s="326">
        <f>T147*係数!$C$30*0.0000258</f>
        <v>0</v>
      </c>
      <c r="W147" s="282">
        <f t="shared" si="11"/>
        <v>0</v>
      </c>
      <c r="X147" s="337">
        <f t="shared" si="12"/>
        <v>0</v>
      </c>
      <c r="Y147" s="244">
        <f t="shared" si="13"/>
        <v>0</v>
      </c>
    </row>
    <row r="148" spans="2:25">
      <c r="B148" s="59" t="s">
        <v>427</v>
      </c>
      <c r="C148" s="10"/>
      <c r="D148" s="3"/>
      <c r="E148" s="483"/>
      <c r="F148" s="35"/>
      <c r="G148" s="35"/>
      <c r="H148" s="51" t="s">
        <v>341</v>
      </c>
      <c r="I148" s="3"/>
      <c r="J148" s="331">
        <f t="shared" si="14"/>
        <v>0</v>
      </c>
      <c r="K148" s="331">
        <f t="shared" si="8"/>
        <v>0</v>
      </c>
      <c r="L148" s="326">
        <f>K148*係数!$I$30</f>
        <v>0</v>
      </c>
      <c r="M148" s="326">
        <f>K148*係数!$C$30*0.0000258</f>
        <v>0</v>
      </c>
      <c r="N148" s="10"/>
      <c r="O148" s="3"/>
      <c r="P148" s="483"/>
      <c r="Q148" s="51" t="s">
        <v>341</v>
      </c>
      <c r="R148" s="3"/>
      <c r="S148" s="329">
        <f t="shared" si="9"/>
        <v>0</v>
      </c>
      <c r="T148" s="327">
        <f t="shared" si="10"/>
        <v>0</v>
      </c>
      <c r="U148" s="326">
        <f>T148*係数!$I$30</f>
        <v>0</v>
      </c>
      <c r="V148" s="326">
        <f>T148*係数!$C$30*0.0000258</f>
        <v>0</v>
      </c>
      <c r="W148" s="282">
        <f t="shared" si="11"/>
        <v>0</v>
      </c>
      <c r="X148" s="337">
        <f t="shared" si="12"/>
        <v>0</v>
      </c>
      <c r="Y148" s="244">
        <f t="shared" si="13"/>
        <v>0</v>
      </c>
    </row>
    <row r="149" spans="2:25">
      <c r="B149" s="59" t="s">
        <v>428</v>
      </c>
      <c r="C149" s="10"/>
      <c r="D149" s="3"/>
      <c r="E149" s="483"/>
      <c r="F149" s="35"/>
      <c r="G149" s="35"/>
      <c r="H149" s="51" t="s">
        <v>341</v>
      </c>
      <c r="I149" s="3"/>
      <c r="J149" s="331">
        <f t="shared" si="14"/>
        <v>0</v>
      </c>
      <c r="K149" s="331">
        <f t="shared" ref="K149:K212" si="15">E149*D149*J149/1000</f>
        <v>0</v>
      </c>
      <c r="L149" s="326">
        <f>K149*係数!$I$30</f>
        <v>0</v>
      </c>
      <c r="M149" s="326">
        <f>K149*係数!$C$30*0.0000258</f>
        <v>0</v>
      </c>
      <c r="N149" s="10"/>
      <c r="O149" s="3"/>
      <c r="P149" s="483"/>
      <c r="Q149" s="51" t="s">
        <v>341</v>
      </c>
      <c r="R149" s="3"/>
      <c r="S149" s="329">
        <f t="shared" ref="S149:S212" si="16">IF(Q149="○",F149*G149*R149/100,F149*G149)</f>
        <v>0</v>
      </c>
      <c r="T149" s="327">
        <f t="shared" ref="T149:T212" si="17">P149*O149*S149/1000</f>
        <v>0</v>
      </c>
      <c r="U149" s="326">
        <f>T149*係数!$I$30</f>
        <v>0</v>
      </c>
      <c r="V149" s="326">
        <f>T149*係数!$C$30*0.0000258</f>
        <v>0</v>
      </c>
      <c r="W149" s="282">
        <f t="shared" ref="W149:W212" si="18">K149-T149</f>
        <v>0</v>
      </c>
      <c r="X149" s="337">
        <f t="shared" ref="X149:X212" si="19">L149-U149</f>
        <v>0</v>
      </c>
      <c r="Y149" s="244">
        <f t="shared" ref="Y149:Y212" si="20">M149-V149</f>
        <v>0</v>
      </c>
    </row>
    <row r="150" spans="2:25">
      <c r="B150" s="59" t="s">
        <v>429</v>
      </c>
      <c r="C150" s="10"/>
      <c r="D150" s="3"/>
      <c r="E150" s="483"/>
      <c r="F150" s="35"/>
      <c r="G150" s="35"/>
      <c r="H150" s="51" t="s">
        <v>341</v>
      </c>
      <c r="I150" s="3"/>
      <c r="J150" s="331">
        <f t="shared" ref="J150:J213" si="21">IF(H150="○",F150*G150*I150/100,F150*G150)</f>
        <v>0</v>
      </c>
      <c r="K150" s="331">
        <f t="shared" si="15"/>
        <v>0</v>
      </c>
      <c r="L150" s="326">
        <f>K150*係数!$I$30</f>
        <v>0</v>
      </c>
      <c r="M150" s="326">
        <f>K150*係数!$C$30*0.0000258</f>
        <v>0</v>
      </c>
      <c r="N150" s="10"/>
      <c r="O150" s="3"/>
      <c r="P150" s="483"/>
      <c r="Q150" s="51" t="s">
        <v>341</v>
      </c>
      <c r="R150" s="3"/>
      <c r="S150" s="329">
        <f t="shared" si="16"/>
        <v>0</v>
      </c>
      <c r="T150" s="327">
        <f t="shared" si="17"/>
        <v>0</v>
      </c>
      <c r="U150" s="326">
        <f>T150*係数!$I$30</f>
        <v>0</v>
      </c>
      <c r="V150" s="326">
        <f>T150*係数!$C$30*0.0000258</f>
        <v>0</v>
      </c>
      <c r="W150" s="282">
        <f t="shared" si="18"/>
        <v>0</v>
      </c>
      <c r="X150" s="337">
        <f t="shared" si="19"/>
        <v>0</v>
      </c>
      <c r="Y150" s="244">
        <f t="shared" si="20"/>
        <v>0</v>
      </c>
    </row>
    <row r="151" spans="2:25">
      <c r="B151" s="59" t="s">
        <v>430</v>
      </c>
      <c r="C151" s="10"/>
      <c r="D151" s="3"/>
      <c r="E151" s="483"/>
      <c r="F151" s="35"/>
      <c r="G151" s="35"/>
      <c r="H151" s="51" t="s">
        <v>341</v>
      </c>
      <c r="I151" s="3"/>
      <c r="J151" s="331">
        <f t="shared" si="21"/>
        <v>0</v>
      </c>
      <c r="K151" s="331">
        <f t="shared" si="15"/>
        <v>0</v>
      </c>
      <c r="L151" s="326">
        <f>K151*係数!$I$30</f>
        <v>0</v>
      </c>
      <c r="M151" s="326">
        <f>K151*係数!$C$30*0.0000258</f>
        <v>0</v>
      </c>
      <c r="N151" s="10"/>
      <c r="O151" s="3"/>
      <c r="P151" s="483"/>
      <c r="Q151" s="51" t="s">
        <v>341</v>
      </c>
      <c r="R151" s="3"/>
      <c r="S151" s="329">
        <f t="shared" si="16"/>
        <v>0</v>
      </c>
      <c r="T151" s="327">
        <f t="shared" si="17"/>
        <v>0</v>
      </c>
      <c r="U151" s="326">
        <f>T151*係数!$I$30</f>
        <v>0</v>
      </c>
      <c r="V151" s="326">
        <f>T151*係数!$C$30*0.0000258</f>
        <v>0</v>
      </c>
      <c r="W151" s="282">
        <f t="shared" si="18"/>
        <v>0</v>
      </c>
      <c r="X151" s="337">
        <f t="shared" si="19"/>
        <v>0</v>
      </c>
      <c r="Y151" s="244">
        <f t="shared" si="20"/>
        <v>0</v>
      </c>
    </row>
    <row r="152" spans="2:25">
      <c r="B152" s="59" t="s">
        <v>431</v>
      </c>
      <c r="C152" s="10"/>
      <c r="D152" s="3"/>
      <c r="E152" s="483"/>
      <c r="F152" s="35"/>
      <c r="G152" s="35"/>
      <c r="H152" s="51" t="s">
        <v>341</v>
      </c>
      <c r="I152" s="3"/>
      <c r="J152" s="331">
        <f t="shared" si="21"/>
        <v>0</v>
      </c>
      <c r="K152" s="331">
        <f t="shared" si="15"/>
        <v>0</v>
      </c>
      <c r="L152" s="326">
        <f>K152*係数!$I$30</f>
        <v>0</v>
      </c>
      <c r="M152" s="326">
        <f>K152*係数!$C$30*0.0000258</f>
        <v>0</v>
      </c>
      <c r="N152" s="10"/>
      <c r="O152" s="3"/>
      <c r="P152" s="483"/>
      <c r="Q152" s="51" t="s">
        <v>341</v>
      </c>
      <c r="R152" s="3"/>
      <c r="S152" s="329">
        <f t="shared" si="16"/>
        <v>0</v>
      </c>
      <c r="T152" s="327">
        <f t="shared" si="17"/>
        <v>0</v>
      </c>
      <c r="U152" s="326">
        <f>T152*係数!$I$30</f>
        <v>0</v>
      </c>
      <c r="V152" s="326">
        <f>T152*係数!$C$30*0.0000258</f>
        <v>0</v>
      </c>
      <c r="W152" s="282">
        <f t="shared" si="18"/>
        <v>0</v>
      </c>
      <c r="X152" s="337">
        <f t="shared" si="19"/>
        <v>0</v>
      </c>
      <c r="Y152" s="244">
        <f t="shared" si="20"/>
        <v>0</v>
      </c>
    </row>
    <row r="153" spans="2:25">
      <c r="B153" s="59" t="s">
        <v>432</v>
      </c>
      <c r="C153" s="10"/>
      <c r="D153" s="3"/>
      <c r="E153" s="483"/>
      <c r="F153" s="35"/>
      <c r="G153" s="35"/>
      <c r="H153" s="51" t="s">
        <v>341</v>
      </c>
      <c r="I153" s="3"/>
      <c r="J153" s="331">
        <f t="shared" si="21"/>
        <v>0</v>
      </c>
      <c r="K153" s="331">
        <f t="shared" si="15"/>
        <v>0</v>
      </c>
      <c r="L153" s="326">
        <f>K153*係数!$I$30</f>
        <v>0</v>
      </c>
      <c r="M153" s="326">
        <f>K153*係数!$C$30*0.0000258</f>
        <v>0</v>
      </c>
      <c r="N153" s="10"/>
      <c r="O153" s="3"/>
      <c r="P153" s="483"/>
      <c r="Q153" s="51" t="s">
        <v>341</v>
      </c>
      <c r="R153" s="3"/>
      <c r="S153" s="329">
        <f t="shared" si="16"/>
        <v>0</v>
      </c>
      <c r="T153" s="327">
        <f t="shared" si="17"/>
        <v>0</v>
      </c>
      <c r="U153" s="326">
        <f>T153*係数!$I$30</f>
        <v>0</v>
      </c>
      <c r="V153" s="326">
        <f>T153*係数!$C$30*0.0000258</f>
        <v>0</v>
      </c>
      <c r="W153" s="282">
        <f t="shared" si="18"/>
        <v>0</v>
      </c>
      <c r="X153" s="337">
        <f t="shared" si="19"/>
        <v>0</v>
      </c>
      <c r="Y153" s="244">
        <f t="shared" si="20"/>
        <v>0</v>
      </c>
    </row>
    <row r="154" spans="2:25">
      <c r="B154" s="59" t="s">
        <v>433</v>
      </c>
      <c r="C154" s="10"/>
      <c r="D154" s="3"/>
      <c r="E154" s="483"/>
      <c r="F154" s="35"/>
      <c r="G154" s="35"/>
      <c r="H154" s="51" t="s">
        <v>341</v>
      </c>
      <c r="I154" s="3"/>
      <c r="J154" s="331">
        <f t="shared" si="21"/>
        <v>0</v>
      </c>
      <c r="K154" s="331">
        <f t="shared" si="15"/>
        <v>0</v>
      </c>
      <c r="L154" s="326">
        <f>K154*係数!$I$30</f>
        <v>0</v>
      </c>
      <c r="M154" s="326">
        <f>K154*係数!$C$30*0.0000258</f>
        <v>0</v>
      </c>
      <c r="N154" s="10"/>
      <c r="O154" s="3"/>
      <c r="P154" s="483"/>
      <c r="Q154" s="51" t="s">
        <v>341</v>
      </c>
      <c r="R154" s="3"/>
      <c r="S154" s="329">
        <f t="shared" si="16"/>
        <v>0</v>
      </c>
      <c r="T154" s="327">
        <f t="shared" si="17"/>
        <v>0</v>
      </c>
      <c r="U154" s="326">
        <f>T154*係数!$I$30</f>
        <v>0</v>
      </c>
      <c r="V154" s="326">
        <f>T154*係数!$C$30*0.0000258</f>
        <v>0</v>
      </c>
      <c r="W154" s="282">
        <f t="shared" si="18"/>
        <v>0</v>
      </c>
      <c r="X154" s="337">
        <f t="shared" si="19"/>
        <v>0</v>
      </c>
      <c r="Y154" s="244">
        <f t="shared" si="20"/>
        <v>0</v>
      </c>
    </row>
    <row r="155" spans="2:25">
      <c r="B155" s="59" t="s">
        <v>434</v>
      </c>
      <c r="C155" s="10"/>
      <c r="D155" s="3"/>
      <c r="E155" s="483"/>
      <c r="F155" s="35"/>
      <c r="G155" s="35"/>
      <c r="H155" s="51" t="s">
        <v>341</v>
      </c>
      <c r="I155" s="3"/>
      <c r="J155" s="331">
        <f t="shared" si="21"/>
        <v>0</v>
      </c>
      <c r="K155" s="331">
        <f t="shared" si="15"/>
        <v>0</v>
      </c>
      <c r="L155" s="326">
        <f>K155*係数!$I$30</f>
        <v>0</v>
      </c>
      <c r="M155" s="326">
        <f>K155*係数!$C$30*0.0000258</f>
        <v>0</v>
      </c>
      <c r="N155" s="10"/>
      <c r="O155" s="3"/>
      <c r="P155" s="483"/>
      <c r="Q155" s="51" t="s">
        <v>341</v>
      </c>
      <c r="R155" s="3"/>
      <c r="S155" s="329">
        <f t="shared" si="16"/>
        <v>0</v>
      </c>
      <c r="T155" s="327">
        <f t="shared" si="17"/>
        <v>0</v>
      </c>
      <c r="U155" s="326">
        <f>T155*係数!$I$30</f>
        <v>0</v>
      </c>
      <c r="V155" s="326">
        <f>T155*係数!$C$30*0.0000258</f>
        <v>0</v>
      </c>
      <c r="W155" s="282">
        <f t="shared" si="18"/>
        <v>0</v>
      </c>
      <c r="X155" s="337">
        <f t="shared" si="19"/>
        <v>0</v>
      </c>
      <c r="Y155" s="244">
        <f t="shared" si="20"/>
        <v>0</v>
      </c>
    </row>
    <row r="156" spans="2:25">
      <c r="B156" s="59" t="s">
        <v>435</v>
      </c>
      <c r="C156" s="10"/>
      <c r="D156" s="3"/>
      <c r="E156" s="483"/>
      <c r="F156" s="35"/>
      <c r="G156" s="35"/>
      <c r="H156" s="51" t="s">
        <v>341</v>
      </c>
      <c r="I156" s="3"/>
      <c r="J156" s="331">
        <f t="shared" si="21"/>
        <v>0</v>
      </c>
      <c r="K156" s="331">
        <f t="shared" si="15"/>
        <v>0</v>
      </c>
      <c r="L156" s="326">
        <f>K156*係数!$I$30</f>
        <v>0</v>
      </c>
      <c r="M156" s="326">
        <f>K156*係数!$C$30*0.0000258</f>
        <v>0</v>
      </c>
      <c r="N156" s="10"/>
      <c r="O156" s="3"/>
      <c r="P156" s="483"/>
      <c r="Q156" s="51" t="s">
        <v>341</v>
      </c>
      <c r="R156" s="3"/>
      <c r="S156" s="329">
        <f t="shared" si="16"/>
        <v>0</v>
      </c>
      <c r="T156" s="327">
        <f t="shared" si="17"/>
        <v>0</v>
      </c>
      <c r="U156" s="326">
        <f>T156*係数!$I$30</f>
        <v>0</v>
      </c>
      <c r="V156" s="326">
        <f>T156*係数!$C$30*0.0000258</f>
        <v>0</v>
      </c>
      <c r="W156" s="282">
        <f t="shared" si="18"/>
        <v>0</v>
      </c>
      <c r="X156" s="337">
        <f t="shared" si="19"/>
        <v>0</v>
      </c>
      <c r="Y156" s="244">
        <f t="shared" si="20"/>
        <v>0</v>
      </c>
    </row>
    <row r="157" spans="2:25">
      <c r="B157" s="59" t="s">
        <v>436</v>
      </c>
      <c r="C157" s="10"/>
      <c r="D157" s="3"/>
      <c r="E157" s="483"/>
      <c r="F157" s="35"/>
      <c r="G157" s="35"/>
      <c r="H157" s="51" t="s">
        <v>341</v>
      </c>
      <c r="I157" s="3"/>
      <c r="J157" s="331">
        <f t="shared" si="21"/>
        <v>0</v>
      </c>
      <c r="K157" s="331">
        <f t="shared" si="15"/>
        <v>0</v>
      </c>
      <c r="L157" s="326">
        <f>K157*係数!$I$30</f>
        <v>0</v>
      </c>
      <c r="M157" s="326">
        <f>K157*係数!$C$30*0.0000258</f>
        <v>0</v>
      </c>
      <c r="N157" s="10"/>
      <c r="O157" s="3"/>
      <c r="P157" s="483"/>
      <c r="Q157" s="51" t="s">
        <v>341</v>
      </c>
      <c r="R157" s="3"/>
      <c r="S157" s="329">
        <f t="shared" si="16"/>
        <v>0</v>
      </c>
      <c r="T157" s="327">
        <f t="shared" si="17"/>
        <v>0</v>
      </c>
      <c r="U157" s="326">
        <f>T157*係数!$I$30</f>
        <v>0</v>
      </c>
      <c r="V157" s="326">
        <f>T157*係数!$C$30*0.0000258</f>
        <v>0</v>
      </c>
      <c r="W157" s="282">
        <f t="shared" si="18"/>
        <v>0</v>
      </c>
      <c r="X157" s="337">
        <f t="shared" si="19"/>
        <v>0</v>
      </c>
      <c r="Y157" s="244">
        <f t="shared" si="20"/>
        <v>0</v>
      </c>
    </row>
    <row r="158" spans="2:25">
      <c r="B158" s="59" t="s">
        <v>437</v>
      </c>
      <c r="C158" s="10"/>
      <c r="D158" s="3"/>
      <c r="E158" s="483"/>
      <c r="F158" s="35"/>
      <c r="G158" s="35"/>
      <c r="H158" s="51" t="s">
        <v>341</v>
      </c>
      <c r="I158" s="3"/>
      <c r="J158" s="331">
        <f t="shared" si="21"/>
        <v>0</v>
      </c>
      <c r="K158" s="331">
        <f t="shared" si="15"/>
        <v>0</v>
      </c>
      <c r="L158" s="326">
        <f>K158*係数!$I$30</f>
        <v>0</v>
      </c>
      <c r="M158" s="326">
        <f>K158*係数!$C$30*0.0000258</f>
        <v>0</v>
      </c>
      <c r="N158" s="10"/>
      <c r="O158" s="3"/>
      <c r="P158" s="483"/>
      <c r="Q158" s="51" t="s">
        <v>341</v>
      </c>
      <c r="R158" s="3"/>
      <c r="S158" s="329">
        <f t="shared" si="16"/>
        <v>0</v>
      </c>
      <c r="T158" s="327">
        <f t="shared" si="17"/>
        <v>0</v>
      </c>
      <c r="U158" s="326">
        <f>T158*係数!$I$30</f>
        <v>0</v>
      </c>
      <c r="V158" s="326">
        <f>T158*係数!$C$30*0.0000258</f>
        <v>0</v>
      </c>
      <c r="W158" s="282">
        <f t="shared" si="18"/>
        <v>0</v>
      </c>
      <c r="X158" s="337">
        <f t="shared" si="19"/>
        <v>0</v>
      </c>
      <c r="Y158" s="244">
        <f t="shared" si="20"/>
        <v>0</v>
      </c>
    </row>
    <row r="159" spans="2:25">
      <c r="B159" s="59" t="s">
        <v>438</v>
      </c>
      <c r="C159" s="10"/>
      <c r="D159" s="3"/>
      <c r="E159" s="483"/>
      <c r="F159" s="35"/>
      <c r="G159" s="35"/>
      <c r="H159" s="51" t="s">
        <v>341</v>
      </c>
      <c r="I159" s="3"/>
      <c r="J159" s="331">
        <f t="shared" si="21"/>
        <v>0</v>
      </c>
      <c r="K159" s="331">
        <f t="shared" si="15"/>
        <v>0</v>
      </c>
      <c r="L159" s="326">
        <f>K159*係数!$I$30</f>
        <v>0</v>
      </c>
      <c r="M159" s="326">
        <f>K159*係数!$C$30*0.0000258</f>
        <v>0</v>
      </c>
      <c r="N159" s="10"/>
      <c r="O159" s="3"/>
      <c r="P159" s="483"/>
      <c r="Q159" s="51" t="s">
        <v>341</v>
      </c>
      <c r="R159" s="3"/>
      <c r="S159" s="329">
        <f t="shared" si="16"/>
        <v>0</v>
      </c>
      <c r="T159" s="327">
        <f t="shared" si="17"/>
        <v>0</v>
      </c>
      <c r="U159" s="326">
        <f>T159*係数!$I$30</f>
        <v>0</v>
      </c>
      <c r="V159" s="326">
        <f>T159*係数!$C$30*0.0000258</f>
        <v>0</v>
      </c>
      <c r="W159" s="282">
        <f t="shared" si="18"/>
        <v>0</v>
      </c>
      <c r="X159" s="337">
        <f t="shared" si="19"/>
        <v>0</v>
      </c>
      <c r="Y159" s="244">
        <f t="shared" si="20"/>
        <v>0</v>
      </c>
    </row>
    <row r="160" spans="2:25">
      <c r="B160" s="59" t="s">
        <v>439</v>
      </c>
      <c r="C160" s="10"/>
      <c r="D160" s="3"/>
      <c r="E160" s="483"/>
      <c r="F160" s="35"/>
      <c r="G160" s="35"/>
      <c r="H160" s="51" t="s">
        <v>341</v>
      </c>
      <c r="I160" s="3"/>
      <c r="J160" s="331">
        <f t="shared" si="21"/>
        <v>0</v>
      </c>
      <c r="K160" s="331">
        <f t="shared" si="15"/>
        <v>0</v>
      </c>
      <c r="L160" s="326">
        <f>K160*係数!$I$30</f>
        <v>0</v>
      </c>
      <c r="M160" s="326">
        <f>K160*係数!$C$30*0.0000258</f>
        <v>0</v>
      </c>
      <c r="N160" s="10"/>
      <c r="O160" s="3"/>
      <c r="P160" s="483"/>
      <c r="Q160" s="51" t="s">
        <v>341</v>
      </c>
      <c r="R160" s="3"/>
      <c r="S160" s="329">
        <f t="shared" si="16"/>
        <v>0</v>
      </c>
      <c r="T160" s="327">
        <f t="shared" si="17"/>
        <v>0</v>
      </c>
      <c r="U160" s="326">
        <f>T160*係数!$I$30</f>
        <v>0</v>
      </c>
      <c r="V160" s="326">
        <f>T160*係数!$C$30*0.0000258</f>
        <v>0</v>
      </c>
      <c r="W160" s="282">
        <f t="shared" si="18"/>
        <v>0</v>
      </c>
      <c r="X160" s="337">
        <f t="shared" si="19"/>
        <v>0</v>
      </c>
      <c r="Y160" s="244">
        <f t="shared" si="20"/>
        <v>0</v>
      </c>
    </row>
    <row r="161" spans="2:25">
      <c r="B161" s="59" t="s">
        <v>440</v>
      </c>
      <c r="C161" s="10"/>
      <c r="D161" s="3"/>
      <c r="E161" s="483"/>
      <c r="F161" s="35"/>
      <c r="G161" s="35"/>
      <c r="H161" s="51" t="s">
        <v>341</v>
      </c>
      <c r="I161" s="3"/>
      <c r="J161" s="331">
        <f t="shared" si="21"/>
        <v>0</v>
      </c>
      <c r="K161" s="331">
        <f t="shared" si="15"/>
        <v>0</v>
      </c>
      <c r="L161" s="326">
        <f>K161*係数!$I$30</f>
        <v>0</v>
      </c>
      <c r="M161" s="326">
        <f>K161*係数!$C$30*0.0000258</f>
        <v>0</v>
      </c>
      <c r="N161" s="10"/>
      <c r="O161" s="3"/>
      <c r="P161" s="483"/>
      <c r="Q161" s="51" t="s">
        <v>341</v>
      </c>
      <c r="R161" s="3"/>
      <c r="S161" s="329">
        <f t="shared" si="16"/>
        <v>0</v>
      </c>
      <c r="T161" s="327">
        <f t="shared" si="17"/>
        <v>0</v>
      </c>
      <c r="U161" s="326">
        <f>T161*係数!$I$30</f>
        <v>0</v>
      </c>
      <c r="V161" s="326">
        <f>T161*係数!$C$30*0.0000258</f>
        <v>0</v>
      </c>
      <c r="W161" s="282">
        <f t="shared" si="18"/>
        <v>0</v>
      </c>
      <c r="X161" s="337">
        <f t="shared" si="19"/>
        <v>0</v>
      </c>
      <c r="Y161" s="244">
        <f t="shared" si="20"/>
        <v>0</v>
      </c>
    </row>
    <row r="162" spans="2:25">
      <c r="B162" s="59" t="s">
        <v>441</v>
      </c>
      <c r="C162" s="10"/>
      <c r="D162" s="3"/>
      <c r="E162" s="483"/>
      <c r="F162" s="35"/>
      <c r="G162" s="35"/>
      <c r="H162" s="51" t="s">
        <v>341</v>
      </c>
      <c r="I162" s="3"/>
      <c r="J162" s="331">
        <f t="shared" si="21"/>
        <v>0</v>
      </c>
      <c r="K162" s="331">
        <f t="shared" si="15"/>
        <v>0</v>
      </c>
      <c r="L162" s="326">
        <f>K162*係数!$I$30</f>
        <v>0</v>
      </c>
      <c r="M162" s="326">
        <f>K162*係数!$C$30*0.0000258</f>
        <v>0</v>
      </c>
      <c r="N162" s="10"/>
      <c r="O162" s="3"/>
      <c r="P162" s="483"/>
      <c r="Q162" s="51" t="s">
        <v>341</v>
      </c>
      <c r="R162" s="3"/>
      <c r="S162" s="329">
        <f t="shared" si="16"/>
        <v>0</v>
      </c>
      <c r="T162" s="327">
        <f t="shared" si="17"/>
        <v>0</v>
      </c>
      <c r="U162" s="326">
        <f>T162*係数!$I$30</f>
        <v>0</v>
      </c>
      <c r="V162" s="326">
        <f>T162*係数!$C$30*0.0000258</f>
        <v>0</v>
      </c>
      <c r="W162" s="282">
        <f t="shared" si="18"/>
        <v>0</v>
      </c>
      <c r="X162" s="337">
        <f t="shared" si="19"/>
        <v>0</v>
      </c>
      <c r="Y162" s="244">
        <f t="shared" si="20"/>
        <v>0</v>
      </c>
    </row>
    <row r="163" spans="2:25">
      <c r="B163" s="59" t="s">
        <v>442</v>
      </c>
      <c r="C163" s="10"/>
      <c r="D163" s="3"/>
      <c r="E163" s="483"/>
      <c r="F163" s="35"/>
      <c r="G163" s="35"/>
      <c r="H163" s="51" t="s">
        <v>341</v>
      </c>
      <c r="I163" s="3"/>
      <c r="J163" s="331">
        <f t="shared" si="21"/>
        <v>0</v>
      </c>
      <c r="K163" s="331">
        <f t="shared" si="15"/>
        <v>0</v>
      </c>
      <c r="L163" s="326">
        <f>K163*係数!$I$30</f>
        <v>0</v>
      </c>
      <c r="M163" s="326">
        <f>K163*係数!$C$30*0.0000258</f>
        <v>0</v>
      </c>
      <c r="N163" s="10"/>
      <c r="O163" s="3"/>
      <c r="P163" s="483"/>
      <c r="Q163" s="51" t="s">
        <v>341</v>
      </c>
      <c r="R163" s="3"/>
      <c r="S163" s="329">
        <f t="shared" si="16"/>
        <v>0</v>
      </c>
      <c r="T163" s="327">
        <f t="shared" si="17"/>
        <v>0</v>
      </c>
      <c r="U163" s="326">
        <f>T163*係数!$I$30</f>
        <v>0</v>
      </c>
      <c r="V163" s="326">
        <f>T163*係数!$C$30*0.0000258</f>
        <v>0</v>
      </c>
      <c r="W163" s="282">
        <f t="shared" si="18"/>
        <v>0</v>
      </c>
      <c r="X163" s="337">
        <f t="shared" si="19"/>
        <v>0</v>
      </c>
      <c r="Y163" s="244">
        <f t="shared" si="20"/>
        <v>0</v>
      </c>
    </row>
    <row r="164" spans="2:25">
      <c r="B164" s="59" t="s">
        <v>443</v>
      </c>
      <c r="C164" s="10"/>
      <c r="D164" s="3"/>
      <c r="E164" s="483"/>
      <c r="F164" s="35"/>
      <c r="G164" s="35"/>
      <c r="H164" s="51" t="s">
        <v>341</v>
      </c>
      <c r="I164" s="3"/>
      <c r="J164" s="331">
        <f t="shared" si="21"/>
        <v>0</v>
      </c>
      <c r="K164" s="331">
        <f t="shared" si="15"/>
        <v>0</v>
      </c>
      <c r="L164" s="326">
        <f>K164*係数!$I$30</f>
        <v>0</v>
      </c>
      <c r="M164" s="326">
        <f>K164*係数!$C$30*0.0000258</f>
        <v>0</v>
      </c>
      <c r="N164" s="10"/>
      <c r="O164" s="3"/>
      <c r="P164" s="483"/>
      <c r="Q164" s="51" t="s">
        <v>341</v>
      </c>
      <c r="R164" s="3"/>
      <c r="S164" s="329">
        <f t="shared" si="16"/>
        <v>0</v>
      </c>
      <c r="T164" s="327">
        <f t="shared" si="17"/>
        <v>0</v>
      </c>
      <c r="U164" s="326">
        <f>T164*係数!$I$30</f>
        <v>0</v>
      </c>
      <c r="V164" s="326">
        <f>T164*係数!$C$30*0.0000258</f>
        <v>0</v>
      </c>
      <c r="W164" s="282">
        <f t="shared" si="18"/>
        <v>0</v>
      </c>
      <c r="X164" s="337">
        <f t="shared" si="19"/>
        <v>0</v>
      </c>
      <c r="Y164" s="244">
        <f t="shared" si="20"/>
        <v>0</v>
      </c>
    </row>
    <row r="165" spans="2:25">
      <c r="B165" s="59" t="s">
        <v>444</v>
      </c>
      <c r="C165" s="10"/>
      <c r="D165" s="3"/>
      <c r="E165" s="483"/>
      <c r="F165" s="35"/>
      <c r="G165" s="35"/>
      <c r="H165" s="51" t="s">
        <v>341</v>
      </c>
      <c r="I165" s="3"/>
      <c r="J165" s="331">
        <f t="shared" si="21"/>
        <v>0</v>
      </c>
      <c r="K165" s="331">
        <f t="shared" si="15"/>
        <v>0</v>
      </c>
      <c r="L165" s="326">
        <f>K165*係数!$I$30</f>
        <v>0</v>
      </c>
      <c r="M165" s="326">
        <f>K165*係数!$C$30*0.0000258</f>
        <v>0</v>
      </c>
      <c r="N165" s="10"/>
      <c r="O165" s="3"/>
      <c r="P165" s="483"/>
      <c r="Q165" s="51" t="s">
        <v>341</v>
      </c>
      <c r="R165" s="3"/>
      <c r="S165" s="329">
        <f t="shared" si="16"/>
        <v>0</v>
      </c>
      <c r="T165" s="327">
        <f t="shared" si="17"/>
        <v>0</v>
      </c>
      <c r="U165" s="326">
        <f>T165*係数!$I$30</f>
        <v>0</v>
      </c>
      <c r="V165" s="326">
        <f>T165*係数!$C$30*0.0000258</f>
        <v>0</v>
      </c>
      <c r="W165" s="282">
        <f t="shared" si="18"/>
        <v>0</v>
      </c>
      <c r="X165" s="337">
        <f t="shared" si="19"/>
        <v>0</v>
      </c>
      <c r="Y165" s="244">
        <f t="shared" si="20"/>
        <v>0</v>
      </c>
    </row>
    <row r="166" spans="2:25">
      <c r="B166" s="59" t="s">
        <v>445</v>
      </c>
      <c r="C166" s="10"/>
      <c r="D166" s="3"/>
      <c r="E166" s="483"/>
      <c r="F166" s="35"/>
      <c r="G166" s="35"/>
      <c r="H166" s="51" t="s">
        <v>341</v>
      </c>
      <c r="I166" s="3"/>
      <c r="J166" s="331">
        <f t="shared" si="21"/>
        <v>0</v>
      </c>
      <c r="K166" s="331">
        <f t="shared" si="15"/>
        <v>0</v>
      </c>
      <c r="L166" s="326">
        <f>K166*係数!$I$30</f>
        <v>0</v>
      </c>
      <c r="M166" s="326">
        <f>K166*係数!$C$30*0.0000258</f>
        <v>0</v>
      </c>
      <c r="N166" s="10"/>
      <c r="O166" s="3"/>
      <c r="P166" s="483"/>
      <c r="Q166" s="51" t="s">
        <v>341</v>
      </c>
      <c r="R166" s="3"/>
      <c r="S166" s="329">
        <f t="shared" si="16"/>
        <v>0</v>
      </c>
      <c r="T166" s="327">
        <f t="shared" si="17"/>
        <v>0</v>
      </c>
      <c r="U166" s="326">
        <f>T166*係数!$I$30</f>
        <v>0</v>
      </c>
      <c r="V166" s="326">
        <f>T166*係数!$C$30*0.0000258</f>
        <v>0</v>
      </c>
      <c r="W166" s="282">
        <f t="shared" si="18"/>
        <v>0</v>
      </c>
      <c r="X166" s="337">
        <f t="shared" si="19"/>
        <v>0</v>
      </c>
      <c r="Y166" s="244">
        <f t="shared" si="20"/>
        <v>0</v>
      </c>
    </row>
    <row r="167" spans="2:25">
      <c r="B167" s="59" t="s">
        <v>446</v>
      </c>
      <c r="C167" s="10"/>
      <c r="D167" s="3"/>
      <c r="E167" s="483"/>
      <c r="F167" s="35"/>
      <c r="G167" s="35"/>
      <c r="H167" s="51" t="s">
        <v>341</v>
      </c>
      <c r="I167" s="3"/>
      <c r="J167" s="331">
        <f t="shared" si="21"/>
        <v>0</v>
      </c>
      <c r="K167" s="331">
        <f t="shared" si="15"/>
        <v>0</v>
      </c>
      <c r="L167" s="326">
        <f>K167*係数!$I$30</f>
        <v>0</v>
      </c>
      <c r="M167" s="326">
        <f>K167*係数!$C$30*0.0000258</f>
        <v>0</v>
      </c>
      <c r="N167" s="10"/>
      <c r="O167" s="3"/>
      <c r="P167" s="483"/>
      <c r="Q167" s="51" t="s">
        <v>341</v>
      </c>
      <c r="R167" s="3"/>
      <c r="S167" s="329">
        <f t="shared" si="16"/>
        <v>0</v>
      </c>
      <c r="T167" s="327">
        <f t="shared" si="17"/>
        <v>0</v>
      </c>
      <c r="U167" s="326">
        <f>T167*係数!$I$30</f>
        <v>0</v>
      </c>
      <c r="V167" s="326">
        <f>T167*係数!$C$30*0.0000258</f>
        <v>0</v>
      </c>
      <c r="W167" s="282">
        <f t="shared" si="18"/>
        <v>0</v>
      </c>
      <c r="X167" s="337">
        <f t="shared" si="19"/>
        <v>0</v>
      </c>
      <c r="Y167" s="244">
        <f t="shared" si="20"/>
        <v>0</v>
      </c>
    </row>
    <row r="168" spans="2:25">
      <c r="B168" s="59" t="s">
        <v>447</v>
      </c>
      <c r="C168" s="10"/>
      <c r="D168" s="3"/>
      <c r="E168" s="483"/>
      <c r="F168" s="35"/>
      <c r="G168" s="35"/>
      <c r="H168" s="51" t="s">
        <v>341</v>
      </c>
      <c r="I168" s="3"/>
      <c r="J168" s="331">
        <f t="shared" si="21"/>
        <v>0</v>
      </c>
      <c r="K168" s="331">
        <f t="shared" si="15"/>
        <v>0</v>
      </c>
      <c r="L168" s="326">
        <f>K168*係数!$I$30</f>
        <v>0</v>
      </c>
      <c r="M168" s="326">
        <f>K168*係数!$C$30*0.0000258</f>
        <v>0</v>
      </c>
      <c r="N168" s="10"/>
      <c r="O168" s="3"/>
      <c r="P168" s="483"/>
      <c r="Q168" s="51" t="s">
        <v>341</v>
      </c>
      <c r="R168" s="3"/>
      <c r="S168" s="329">
        <f t="shared" si="16"/>
        <v>0</v>
      </c>
      <c r="T168" s="327">
        <f t="shared" si="17"/>
        <v>0</v>
      </c>
      <c r="U168" s="326">
        <f>T168*係数!$I$30</f>
        <v>0</v>
      </c>
      <c r="V168" s="326">
        <f>T168*係数!$C$30*0.0000258</f>
        <v>0</v>
      </c>
      <c r="W168" s="282">
        <f t="shared" si="18"/>
        <v>0</v>
      </c>
      <c r="X168" s="337">
        <f t="shared" si="19"/>
        <v>0</v>
      </c>
      <c r="Y168" s="244">
        <f t="shared" si="20"/>
        <v>0</v>
      </c>
    </row>
    <row r="169" spans="2:25">
      <c r="B169" s="59" t="s">
        <v>448</v>
      </c>
      <c r="C169" s="10"/>
      <c r="D169" s="3"/>
      <c r="E169" s="483"/>
      <c r="F169" s="35"/>
      <c r="G169" s="35"/>
      <c r="H169" s="51" t="s">
        <v>341</v>
      </c>
      <c r="I169" s="3"/>
      <c r="J169" s="331">
        <f t="shared" si="21"/>
        <v>0</v>
      </c>
      <c r="K169" s="331">
        <f t="shared" si="15"/>
        <v>0</v>
      </c>
      <c r="L169" s="326">
        <f>K169*係数!$I$30</f>
        <v>0</v>
      </c>
      <c r="M169" s="326">
        <f>K169*係数!$C$30*0.0000258</f>
        <v>0</v>
      </c>
      <c r="N169" s="10"/>
      <c r="O169" s="3"/>
      <c r="P169" s="483"/>
      <c r="Q169" s="51" t="s">
        <v>341</v>
      </c>
      <c r="R169" s="3"/>
      <c r="S169" s="329">
        <f t="shared" si="16"/>
        <v>0</v>
      </c>
      <c r="T169" s="327">
        <f t="shared" si="17"/>
        <v>0</v>
      </c>
      <c r="U169" s="326">
        <f>T169*係数!$I$30</f>
        <v>0</v>
      </c>
      <c r="V169" s="326">
        <f>T169*係数!$C$30*0.0000258</f>
        <v>0</v>
      </c>
      <c r="W169" s="282">
        <f t="shared" si="18"/>
        <v>0</v>
      </c>
      <c r="X169" s="337">
        <f t="shared" si="19"/>
        <v>0</v>
      </c>
      <c r="Y169" s="244">
        <f t="shared" si="20"/>
        <v>0</v>
      </c>
    </row>
    <row r="170" spans="2:25">
      <c r="B170" s="59" t="s">
        <v>449</v>
      </c>
      <c r="C170" s="10"/>
      <c r="D170" s="3"/>
      <c r="E170" s="483"/>
      <c r="F170" s="35"/>
      <c r="G170" s="35"/>
      <c r="H170" s="51" t="s">
        <v>341</v>
      </c>
      <c r="I170" s="3"/>
      <c r="J170" s="331">
        <f t="shared" si="21"/>
        <v>0</v>
      </c>
      <c r="K170" s="331">
        <f t="shared" si="15"/>
        <v>0</v>
      </c>
      <c r="L170" s="326">
        <f>K170*係数!$I$30</f>
        <v>0</v>
      </c>
      <c r="M170" s="326">
        <f>K170*係数!$C$30*0.0000258</f>
        <v>0</v>
      </c>
      <c r="N170" s="10"/>
      <c r="O170" s="3"/>
      <c r="P170" s="483"/>
      <c r="Q170" s="51" t="s">
        <v>341</v>
      </c>
      <c r="R170" s="3"/>
      <c r="S170" s="329">
        <f t="shared" si="16"/>
        <v>0</v>
      </c>
      <c r="T170" s="327">
        <f t="shared" si="17"/>
        <v>0</v>
      </c>
      <c r="U170" s="326">
        <f>T170*係数!$I$30</f>
        <v>0</v>
      </c>
      <c r="V170" s="326">
        <f>T170*係数!$C$30*0.0000258</f>
        <v>0</v>
      </c>
      <c r="W170" s="282">
        <f t="shared" si="18"/>
        <v>0</v>
      </c>
      <c r="X170" s="337">
        <f t="shared" si="19"/>
        <v>0</v>
      </c>
      <c r="Y170" s="244">
        <f t="shared" si="20"/>
        <v>0</v>
      </c>
    </row>
    <row r="171" spans="2:25">
      <c r="B171" s="59" t="s">
        <v>450</v>
      </c>
      <c r="C171" s="10"/>
      <c r="D171" s="3"/>
      <c r="E171" s="483"/>
      <c r="F171" s="35"/>
      <c r="G171" s="35"/>
      <c r="H171" s="51" t="s">
        <v>341</v>
      </c>
      <c r="I171" s="3"/>
      <c r="J171" s="331">
        <f t="shared" si="21"/>
        <v>0</v>
      </c>
      <c r="K171" s="331">
        <f t="shared" si="15"/>
        <v>0</v>
      </c>
      <c r="L171" s="326">
        <f>K171*係数!$I$30</f>
        <v>0</v>
      </c>
      <c r="M171" s="326">
        <f>K171*係数!$C$30*0.0000258</f>
        <v>0</v>
      </c>
      <c r="N171" s="10"/>
      <c r="O171" s="3"/>
      <c r="P171" s="483"/>
      <c r="Q171" s="51" t="s">
        <v>341</v>
      </c>
      <c r="R171" s="3"/>
      <c r="S171" s="329">
        <f t="shared" si="16"/>
        <v>0</v>
      </c>
      <c r="T171" s="327">
        <f t="shared" si="17"/>
        <v>0</v>
      </c>
      <c r="U171" s="326">
        <f>T171*係数!$I$30</f>
        <v>0</v>
      </c>
      <c r="V171" s="326">
        <f>T171*係数!$C$30*0.0000258</f>
        <v>0</v>
      </c>
      <c r="W171" s="282">
        <f t="shared" si="18"/>
        <v>0</v>
      </c>
      <c r="X171" s="337">
        <f t="shared" si="19"/>
        <v>0</v>
      </c>
      <c r="Y171" s="244">
        <f t="shared" si="20"/>
        <v>0</v>
      </c>
    </row>
    <row r="172" spans="2:25">
      <c r="B172" s="59" t="s">
        <v>451</v>
      </c>
      <c r="C172" s="10"/>
      <c r="D172" s="3"/>
      <c r="E172" s="483"/>
      <c r="F172" s="35"/>
      <c r="G172" s="35"/>
      <c r="H172" s="51" t="s">
        <v>341</v>
      </c>
      <c r="I172" s="3"/>
      <c r="J172" s="331">
        <f t="shared" si="21"/>
        <v>0</v>
      </c>
      <c r="K172" s="331">
        <f t="shared" si="15"/>
        <v>0</v>
      </c>
      <c r="L172" s="326">
        <f>K172*係数!$I$30</f>
        <v>0</v>
      </c>
      <c r="M172" s="326">
        <f>K172*係数!$C$30*0.0000258</f>
        <v>0</v>
      </c>
      <c r="N172" s="10"/>
      <c r="O172" s="3"/>
      <c r="P172" s="483"/>
      <c r="Q172" s="51" t="s">
        <v>341</v>
      </c>
      <c r="R172" s="3"/>
      <c r="S172" s="329">
        <f t="shared" si="16"/>
        <v>0</v>
      </c>
      <c r="T172" s="327">
        <f t="shared" si="17"/>
        <v>0</v>
      </c>
      <c r="U172" s="326">
        <f>T172*係数!$I$30</f>
        <v>0</v>
      </c>
      <c r="V172" s="326">
        <f>T172*係数!$C$30*0.0000258</f>
        <v>0</v>
      </c>
      <c r="W172" s="282">
        <f t="shared" si="18"/>
        <v>0</v>
      </c>
      <c r="X172" s="337">
        <f t="shared" si="19"/>
        <v>0</v>
      </c>
      <c r="Y172" s="244">
        <f t="shared" si="20"/>
        <v>0</v>
      </c>
    </row>
    <row r="173" spans="2:25">
      <c r="B173" s="59" t="s">
        <v>452</v>
      </c>
      <c r="C173" s="10"/>
      <c r="D173" s="3"/>
      <c r="E173" s="483"/>
      <c r="F173" s="35"/>
      <c r="G173" s="35"/>
      <c r="H173" s="51" t="s">
        <v>341</v>
      </c>
      <c r="I173" s="3"/>
      <c r="J173" s="331">
        <f t="shared" si="21"/>
        <v>0</v>
      </c>
      <c r="K173" s="331">
        <f t="shared" si="15"/>
        <v>0</v>
      </c>
      <c r="L173" s="326">
        <f>K173*係数!$I$30</f>
        <v>0</v>
      </c>
      <c r="M173" s="326">
        <f>K173*係数!$C$30*0.0000258</f>
        <v>0</v>
      </c>
      <c r="N173" s="10"/>
      <c r="O173" s="3"/>
      <c r="P173" s="483"/>
      <c r="Q173" s="51" t="s">
        <v>341</v>
      </c>
      <c r="R173" s="3"/>
      <c r="S173" s="329">
        <f t="shared" si="16"/>
        <v>0</v>
      </c>
      <c r="T173" s="327">
        <f t="shared" si="17"/>
        <v>0</v>
      </c>
      <c r="U173" s="326">
        <f>T173*係数!$I$30</f>
        <v>0</v>
      </c>
      <c r="V173" s="326">
        <f>T173*係数!$C$30*0.0000258</f>
        <v>0</v>
      </c>
      <c r="W173" s="282">
        <f t="shared" si="18"/>
        <v>0</v>
      </c>
      <c r="X173" s="337">
        <f t="shared" si="19"/>
        <v>0</v>
      </c>
      <c r="Y173" s="244">
        <f t="shared" si="20"/>
        <v>0</v>
      </c>
    </row>
    <row r="174" spans="2:25">
      <c r="B174" s="59" t="s">
        <v>453</v>
      </c>
      <c r="C174" s="10"/>
      <c r="D174" s="3"/>
      <c r="E174" s="483"/>
      <c r="F174" s="35"/>
      <c r="G174" s="35"/>
      <c r="H174" s="51" t="s">
        <v>341</v>
      </c>
      <c r="I174" s="3"/>
      <c r="J174" s="331">
        <f t="shared" si="21"/>
        <v>0</v>
      </c>
      <c r="K174" s="331">
        <f t="shared" si="15"/>
        <v>0</v>
      </c>
      <c r="L174" s="326">
        <f>K174*係数!$I$30</f>
        <v>0</v>
      </c>
      <c r="M174" s="326">
        <f>K174*係数!$C$30*0.0000258</f>
        <v>0</v>
      </c>
      <c r="N174" s="10"/>
      <c r="O174" s="3"/>
      <c r="P174" s="483"/>
      <c r="Q174" s="51" t="s">
        <v>341</v>
      </c>
      <c r="R174" s="3"/>
      <c r="S174" s="329">
        <f t="shared" si="16"/>
        <v>0</v>
      </c>
      <c r="T174" s="327">
        <f t="shared" si="17"/>
        <v>0</v>
      </c>
      <c r="U174" s="326">
        <f>T174*係数!$I$30</f>
        <v>0</v>
      </c>
      <c r="V174" s="326">
        <f>T174*係数!$C$30*0.0000258</f>
        <v>0</v>
      </c>
      <c r="W174" s="282">
        <f t="shared" si="18"/>
        <v>0</v>
      </c>
      <c r="X174" s="337">
        <f t="shared" si="19"/>
        <v>0</v>
      </c>
      <c r="Y174" s="244">
        <f t="shared" si="20"/>
        <v>0</v>
      </c>
    </row>
    <row r="175" spans="2:25">
      <c r="B175" s="59" t="s">
        <v>454</v>
      </c>
      <c r="C175" s="10"/>
      <c r="D175" s="3"/>
      <c r="E175" s="483"/>
      <c r="F175" s="35"/>
      <c r="G175" s="35"/>
      <c r="H175" s="51" t="s">
        <v>341</v>
      </c>
      <c r="I175" s="3"/>
      <c r="J175" s="331">
        <f t="shared" si="21"/>
        <v>0</v>
      </c>
      <c r="K175" s="331">
        <f t="shared" si="15"/>
        <v>0</v>
      </c>
      <c r="L175" s="326">
        <f>K175*係数!$I$30</f>
        <v>0</v>
      </c>
      <c r="M175" s="326">
        <f>K175*係数!$C$30*0.0000258</f>
        <v>0</v>
      </c>
      <c r="N175" s="10"/>
      <c r="O175" s="3"/>
      <c r="P175" s="483"/>
      <c r="Q175" s="51" t="s">
        <v>341</v>
      </c>
      <c r="R175" s="3"/>
      <c r="S175" s="329">
        <f t="shared" si="16"/>
        <v>0</v>
      </c>
      <c r="T175" s="327">
        <f t="shared" si="17"/>
        <v>0</v>
      </c>
      <c r="U175" s="326">
        <f>T175*係数!$I$30</f>
        <v>0</v>
      </c>
      <c r="V175" s="326">
        <f>T175*係数!$C$30*0.0000258</f>
        <v>0</v>
      </c>
      <c r="W175" s="282">
        <f t="shared" si="18"/>
        <v>0</v>
      </c>
      <c r="X175" s="337">
        <f t="shared" si="19"/>
        <v>0</v>
      </c>
      <c r="Y175" s="244">
        <f t="shared" si="20"/>
        <v>0</v>
      </c>
    </row>
    <row r="176" spans="2:25">
      <c r="B176" s="59" t="s">
        <v>455</v>
      </c>
      <c r="C176" s="10"/>
      <c r="D176" s="3"/>
      <c r="E176" s="483"/>
      <c r="F176" s="35"/>
      <c r="G176" s="35"/>
      <c r="H176" s="51" t="s">
        <v>341</v>
      </c>
      <c r="I176" s="3"/>
      <c r="J176" s="331">
        <f t="shared" si="21"/>
        <v>0</v>
      </c>
      <c r="K176" s="331">
        <f t="shared" si="15"/>
        <v>0</v>
      </c>
      <c r="L176" s="326">
        <f>K176*係数!$I$30</f>
        <v>0</v>
      </c>
      <c r="M176" s="326">
        <f>K176*係数!$C$30*0.0000258</f>
        <v>0</v>
      </c>
      <c r="N176" s="10"/>
      <c r="O176" s="3"/>
      <c r="P176" s="483"/>
      <c r="Q176" s="51" t="s">
        <v>341</v>
      </c>
      <c r="R176" s="3"/>
      <c r="S176" s="329">
        <f t="shared" si="16"/>
        <v>0</v>
      </c>
      <c r="T176" s="327">
        <f t="shared" si="17"/>
        <v>0</v>
      </c>
      <c r="U176" s="326">
        <f>T176*係数!$I$30</f>
        <v>0</v>
      </c>
      <c r="V176" s="326">
        <f>T176*係数!$C$30*0.0000258</f>
        <v>0</v>
      </c>
      <c r="W176" s="282">
        <f t="shared" si="18"/>
        <v>0</v>
      </c>
      <c r="X176" s="337">
        <f t="shared" si="19"/>
        <v>0</v>
      </c>
      <c r="Y176" s="244">
        <f t="shared" si="20"/>
        <v>0</v>
      </c>
    </row>
    <row r="177" spans="2:25">
      <c r="B177" s="59" t="s">
        <v>456</v>
      </c>
      <c r="C177" s="10"/>
      <c r="D177" s="3"/>
      <c r="E177" s="483"/>
      <c r="F177" s="35"/>
      <c r="G177" s="35"/>
      <c r="H177" s="51" t="s">
        <v>341</v>
      </c>
      <c r="I177" s="3"/>
      <c r="J177" s="331">
        <f t="shared" si="21"/>
        <v>0</v>
      </c>
      <c r="K177" s="331">
        <f t="shared" si="15"/>
        <v>0</v>
      </c>
      <c r="L177" s="326">
        <f>K177*係数!$I$30</f>
        <v>0</v>
      </c>
      <c r="M177" s="326">
        <f>K177*係数!$C$30*0.0000258</f>
        <v>0</v>
      </c>
      <c r="N177" s="10"/>
      <c r="O177" s="3"/>
      <c r="P177" s="483"/>
      <c r="Q177" s="51" t="s">
        <v>341</v>
      </c>
      <c r="R177" s="3"/>
      <c r="S177" s="329">
        <f t="shared" si="16"/>
        <v>0</v>
      </c>
      <c r="T177" s="327">
        <f t="shared" si="17"/>
        <v>0</v>
      </c>
      <c r="U177" s="326">
        <f>T177*係数!$I$30</f>
        <v>0</v>
      </c>
      <c r="V177" s="326">
        <f>T177*係数!$C$30*0.0000258</f>
        <v>0</v>
      </c>
      <c r="W177" s="282">
        <f t="shared" si="18"/>
        <v>0</v>
      </c>
      <c r="X177" s="337">
        <f t="shared" si="19"/>
        <v>0</v>
      </c>
      <c r="Y177" s="244">
        <f t="shared" si="20"/>
        <v>0</v>
      </c>
    </row>
    <row r="178" spans="2:25">
      <c r="B178" s="59" t="s">
        <v>457</v>
      </c>
      <c r="C178" s="10"/>
      <c r="D178" s="3"/>
      <c r="E178" s="483"/>
      <c r="F178" s="35"/>
      <c r="G178" s="35"/>
      <c r="H178" s="51" t="s">
        <v>341</v>
      </c>
      <c r="I178" s="3"/>
      <c r="J178" s="331">
        <f t="shared" si="21"/>
        <v>0</v>
      </c>
      <c r="K178" s="331">
        <f t="shared" si="15"/>
        <v>0</v>
      </c>
      <c r="L178" s="326">
        <f>K178*係数!$I$30</f>
        <v>0</v>
      </c>
      <c r="M178" s="326">
        <f>K178*係数!$C$30*0.0000258</f>
        <v>0</v>
      </c>
      <c r="N178" s="10"/>
      <c r="O178" s="3"/>
      <c r="P178" s="483"/>
      <c r="Q178" s="51" t="s">
        <v>341</v>
      </c>
      <c r="R178" s="3"/>
      <c r="S178" s="329">
        <f t="shared" si="16"/>
        <v>0</v>
      </c>
      <c r="T178" s="327">
        <f t="shared" si="17"/>
        <v>0</v>
      </c>
      <c r="U178" s="326">
        <f>T178*係数!$I$30</f>
        <v>0</v>
      </c>
      <c r="V178" s="326">
        <f>T178*係数!$C$30*0.0000258</f>
        <v>0</v>
      </c>
      <c r="W178" s="282">
        <f t="shared" si="18"/>
        <v>0</v>
      </c>
      <c r="X178" s="337">
        <f t="shared" si="19"/>
        <v>0</v>
      </c>
      <c r="Y178" s="244">
        <f t="shared" si="20"/>
        <v>0</v>
      </c>
    </row>
    <row r="179" spans="2:25">
      <c r="B179" s="59" t="s">
        <v>458</v>
      </c>
      <c r="C179" s="10"/>
      <c r="D179" s="3"/>
      <c r="E179" s="483"/>
      <c r="F179" s="35"/>
      <c r="G179" s="35"/>
      <c r="H179" s="51" t="s">
        <v>341</v>
      </c>
      <c r="I179" s="3"/>
      <c r="J179" s="331">
        <f t="shared" si="21"/>
        <v>0</v>
      </c>
      <c r="K179" s="331">
        <f t="shared" si="15"/>
        <v>0</v>
      </c>
      <c r="L179" s="326">
        <f>K179*係数!$I$30</f>
        <v>0</v>
      </c>
      <c r="M179" s="326">
        <f>K179*係数!$C$30*0.0000258</f>
        <v>0</v>
      </c>
      <c r="N179" s="10"/>
      <c r="O179" s="3"/>
      <c r="P179" s="483"/>
      <c r="Q179" s="51" t="s">
        <v>341</v>
      </c>
      <c r="R179" s="3"/>
      <c r="S179" s="329">
        <f t="shared" si="16"/>
        <v>0</v>
      </c>
      <c r="T179" s="327">
        <f t="shared" si="17"/>
        <v>0</v>
      </c>
      <c r="U179" s="326">
        <f>T179*係数!$I$30</f>
        <v>0</v>
      </c>
      <c r="V179" s="326">
        <f>T179*係数!$C$30*0.0000258</f>
        <v>0</v>
      </c>
      <c r="W179" s="282">
        <f t="shared" si="18"/>
        <v>0</v>
      </c>
      <c r="X179" s="337">
        <f t="shared" si="19"/>
        <v>0</v>
      </c>
      <c r="Y179" s="244">
        <f t="shared" si="20"/>
        <v>0</v>
      </c>
    </row>
    <row r="180" spans="2:25">
      <c r="B180" s="59" t="s">
        <v>459</v>
      </c>
      <c r="C180" s="10"/>
      <c r="D180" s="3"/>
      <c r="E180" s="483"/>
      <c r="F180" s="35"/>
      <c r="G180" s="35"/>
      <c r="H180" s="51" t="s">
        <v>341</v>
      </c>
      <c r="I180" s="3"/>
      <c r="J180" s="331">
        <f t="shared" si="21"/>
        <v>0</v>
      </c>
      <c r="K180" s="331">
        <f t="shared" si="15"/>
        <v>0</v>
      </c>
      <c r="L180" s="326">
        <f>K180*係数!$I$30</f>
        <v>0</v>
      </c>
      <c r="M180" s="326">
        <f>K180*係数!$C$30*0.0000258</f>
        <v>0</v>
      </c>
      <c r="N180" s="10"/>
      <c r="O180" s="3"/>
      <c r="P180" s="483"/>
      <c r="Q180" s="51" t="s">
        <v>341</v>
      </c>
      <c r="R180" s="3"/>
      <c r="S180" s="329">
        <f t="shared" si="16"/>
        <v>0</v>
      </c>
      <c r="T180" s="327">
        <f t="shared" si="17"/>
        <v>0</v>
      </c>
      <c r="U180" s="326">
        <f>T180*係数!$I$30</f>
        <v>0</v>
      </c>
      <c r="V180" s="326">
        <f>T180*係数!$C$30*0.0000258</f>
        <v>0</v>
      </c>
      <c r="W180" s="282">
        <f t="shared" si="18"/>
        <v>0</v>
      </c>
      <c r="X180" s="337">
        <f t="shared" si="19"/>
        <v>0</v>
      </c>
      <c r="Y180" s="244">
        <f t="shared" si="20"/>
        <v>0</v>
      </c>
    </row>
    <row r="181" spans="2:25">
      <c r="B181" s="59" t="s">
        <v>460</v>
      </c>
      <c r="C181" s="10"/>
      <c r="D181" s="3"/>
      <c r="E181" s="483"/>
      <c r="F181" s="35"/>
      <c r="G181" s="35"/>
      <c r="H181" s="51" t="s">
        <v>341</v>
      </c>
      <c r="I181" s="3"/>
      <c r="J181" s="331">
        <f t="shared" si="21"/>
        <v>0</v>
      </c>
      <c r="K181" s="331">
        <f t="shared" si="15"/>
        <v>0</v>
      </c>
      <c r="L181" s="326">
        <f>K181*係数!$I$30</f>
        <v>0</v>
      </c>
      <c r="M181" s="326">
        <f>K181*係数!$C$30*0.0000258</f>
        <v>0</v>
      </c>
      <c r="N181" s="10"/>
      <c r="O181" s="3"/>
      <c r="P181" s="483"/>
      <c r="Q181" s="51" t="s">
        <v>341</v>
      </c>
      <c r="R181" s="3"/>
      <c r="S181" s="329">
        <f t="shared" si="16"/>
        <v>0</v>
      </c>
      <c r="T181" s="327">
        <f t="shared" si="17"/>
        <v>0</v>
      </c>
      <c r="U181" s="326">
        <f>T181*係数!$I$30</f>
        <v>0</v>
      </c>
      <c r="V181" s="326">
        <f>T181*係数!$C$30*0.0000258</f>
        <v>0</v>
      </c>
      <c r="W181" s="282">
        <f t="shared" si="18"/>
        <v>0</v>
      </c>
      <c r="X181" s="337">
        <f t="shared" si="19"/>
        <v>0</v>
      </c>
      <c r="Y181" s="244">
        <f t="shared" si="20"/>
        <v>0</v>
      </c>
    </row>
    <row r="182" spans="2:25">
      <c r="B182" s="59" t="s">
        <v>461</v>
      </c>
      <c r="C182" s="10"/>
      <c r="D182" s="3"/>
      <c r="E182" s="483"/>
      <c r="F182" s="35"/>
      <c r="G182" s="35"/>
      <c r="H182" s="51" t="s">
        <v>341</v>
      </c>
      <c r="I182" s="3"/>
      <c r="J182" s="331">
        <f t="shared" si="21"/>
        <v>0</v>
      </c>
      <c r="K182" s="331">
        <f t="shared" si="15"/>
        <v>0</v>
      </c>
      <c r="L182" s="326">
        <f>K182*係数!$I$30</f>
        <v>0</v>
      </c>
      <c r="M182" s="326">
        <f>K182*係数!$C$30*0.0000258</f>
        <v>0</v>
      </c>
      <c r="N182" s="10"/>
      <c r="O182" s="3"/>
      <c r="P182" s="483"/>
      <c r="Q182" s="51" t="s">
        <v>341</v>
      </c>
      <c r="R182" s="3"/>
      <c r="S182" s="329">
        <f t="shared" si="16"/>
        <v>0</v>
      </c>
      <c r="T182" s="327">
        <f t="shared" si="17"/>
        <v>0</v>
      </c>
      <c r="U182" s="326">
        <f>T182*係数!$I$30</f>
        <v>0</v>
      </c>
      <c r="V182" s="326">
        <f>T182*係数!$C$30*0.0000258</f>
        <v>0</v>
      </c>
      <c r="W182" s="282">
        <f t="shared" si="18"/>
        <v>0</v>
      </c>
      <c r="X182" s="337">
        <f t="shared" si="19"/>
        <v>0</v>
      </c>
      <c r="Y182" s="244">
        <f t="shared" si="20"/>
        <v>0</v>
      </c>
    </row>
    <row r="183" spans="2:25">
      <c r="B183" s="59" t="s">
        <v>462</v>
      </c>
      <c r="C183" s="10"/>
      <c r="D183" s="3"/>
      <c r="E183" s="483"/>
      <c r="F183" s="35"/>
      <c r="G183" s="35"/>
      <c r="H183" s="51" t="s">
        <v>341</v>
      </c>
      <c r="I183" s="3"/>
      <c r="J183" s="331">
        <f t="shared" si="21"/>
        <v>0</v>
      </c>
      <c r="K183" s="331">
        <f t="shared" si="15"/>
        <v>0</v>
      </c>
      <c r="L183" s="326">
        <f>K183*係数!$I$30</f>
        <v>0</v>
      </c>
      <c r="M183" s="326">
        <f>K183*係数!$C$30*0.0000258</f>
        <v>0</v>
      </c>
      <c r="N183" s="10"/>
      <c r="O183" s="3"/>
      <c r="P183" s="483"/>
      <c r="Q183" s="51" t="s">
        <v>341</v>
      </c>
      <c r="R183" s="3"/>
      <c r="S183" s="329">
        <f t="shared" si="16"/>
        <v>0</v>
      </c>
      <c r="T183" s="327">
        <f t="shared" si="17"/>
        <v>0</v>
      </c>
      <c r="U183" s="326">
        <f>T183*係数!$I$30</f>
        <v>0</v>
      </c>
      <c r="V183" s="326">
        <f>T183*係数!$C$30*0.0000258</f>
        <v>0</v>
      </c>
      <c r="W183" s="282">
        <f t="shared" si="18"/>
        <v>0</v>
      </c>
      <c r="X183" s="337">
        <f t="shared" si="19"/>
        <v>0</v>
      </c>
      <c r="Y183" s="244">
        <f t="shared" si="20"/>
        <v>0</v>
      </c>
    </row>
    <row r="184" spans="2:25">
      <c r="B184" s="59" t="s">
        <v>463</v>
      </c>
      <c r="C184" s="10"/>
      <c r="D184" s="3"/>
      <c r="E184" s="483"/>
      <c r="F184" s="35"/>
      <c r="G184" s="35"/>
      <c r="H184" s="51" t="s">
        <v>341</v>
      </c>
      <c r="I184" s="3"/>
      <c r="J184" s="331">
        <f t="shared" si="21"/>
        <v>0</v>
      </c>
      <c r="K184" s="331">
        <f t="shared" si="15"/>
        <v>0</v>
      </c>
      <c r="L184" s="326">
        <f>K184*係数!$I$30</f>
        <v>0</v>
      </c>
      <c r="M184" s="326">
        <f>K184*係数!$C$30*0.0000258</f>
        <v>0</v>
      </c>
      <c r="N184" s="10"/>
      <c r="O184" s="3"/>
      <c r="P184" s="483"/>
      <c r="Q184" s="51" t="s">
        <v>341</v>
      </c>
      <c r="R184" s="3"/>
      <c r="S184" s="329">
        <f t="shared" si="16"/>
        <v>0</v>
      </c>
      <c r="T184" s="327">
        <f t="shared" si="17"/>
        <v>0</v>
      </c>
      <c r="U184" s="326">
        <f>T184*係数!$I$30</f>
        <v>0</v>
      </c>
      <c r="V184" s="326">
        <f>T184*係数!$C$30*0.0000258</f>
        <v>0</v>
      </c>
      <c r="W184" s="282">
        <f t="shared" si="18"/>
        <v>0</v>
      </c>
      <c r="X184" s="337">
        <f t="shared" si="19"/>
        <v>0</v>
      </c>
      <c r="Y184" s="244">
        <f t="shared" si="20"/>
        <v>0</v>
      </c>
    </row>
    <row r="185" spans="2:25">
      <c r="B185" s="59" t="s">
        <v>464</v>
      </c>
      <c r="C185" s="10"/>
      <c r="D185" s="3"/>
      <c r="E185" s="483"/>
      <c r="F185" s="35"/>
      <c r="G185" s="35"/>
      <c r="H185" s="51" t="s">
        <v>341</v>
      </c>
      <c r="I185" s="3"/>
      <c r="J185" s="331">
        <f t="shared" si="21"/>
        <v>0</v>
      </c>
      <c r="K185" s="331">
        <f t="shared" si="15"/>
        <v>0</v>
      </c>
      <c r="L185" s="326">
        <f>K185*係数!$I$30</f>
        <v>0</v>
      </c>
      <c r="M185" s="326">
        <f>K185*係数!$C$30*0.0000258</f>
        <v>0</v>
      </c>
      <c r="N185" s="10"/>
      <c r="O185" s="3"/>
      <c r="P185" s="483"/>
      <c r="Q185" s="51" t="s">
        <v>341</v>
      </c>
      <c r="R185" s="3"/>
      <c r="S185" s="329">
        <f t="shared" si="16"/>
        <v>0</v>
      </c>
      <c r="T185" s="327">
        <f t="shared" si="17"/>
        <v>0</v>
      </c>
      <c r="U185" s="326">
        <f>T185*係数!$I$30</f>
        <v>0</v>
      </c>
      <c r="V185" s="326">
        <f>T185*係数!$C$30*0.0000258</f>
        <v>0</v>
      </c>
      <c r="W185" s="282">
        <f t="shared" si="18"/>
        <v>0</v>
      </c>
      <c r="X185" s="337">
        <f t="shared" si="19"/>
        <v>0</v>
      </c>
      <c r="Y185" s="244">
        <f t="shared" si="20"/>
        <v>0</v>
      </c>
    </row>
    <row r="186" spans="2:25">
      <c r="B186" s="59" t="s">
        <v>465</v>
      </c>
      <c r="C186" s="10"/>
      <c r="D186" s="3"/>
      <c r="E186" s="483"/>
      <c r="F186" s="35"/>
      <c r="G186" s="35"/>
      <c r="H186" s="51" t="s">
        <v>341</v>
      </c>
      <c r="I186" s="3"/>
      <c r="J186" s="331">
        <f t="shared" si="21"/>
        <v>0</v>
      </c>
      <c r="K186" s="331">
        <f t="shared" si="15"/>
        <v>0</v>
      </c>
      <c r="L186" s="326">
        <f>K186*係数!$I$30</f>
        <v>0</v>
      </c>
      <c r="M186" s="326">
        <f>K186*係数!$C$30*0.0000258</f>
        <v>0</v>
      </c>
      <c r="N186" s="10"/>
      <c r="O186" s="3"/>
      <c r="P186" s="483"/>
      <c r="Q186" s="51" t="s">
        <v>341</v>
      </c>
      <c r="R186" s="3"/>
      <c r="S186" s="329">
        <f t="shared" si="16"/>
        <v>0</v>
      </c>
      <c r="T186" s="327">
        <f t="shared" si="17"/>
        <v>0</v>
      </c>
      <c r="U186" s="326">
        <f>T186*係数!$I$30</f>
        <v>0</v>
      </c>
      <c r="V186" s="326">
        <f>T186*係数!$C$30*0.0000258</f>
        <v>0</v>
      </c>
      <c r="W186" s="282">
        <f t="shared" si="18"/>
        <v>0</v>
      </c>
      <c r="X186" s="337">
        <f t="shared" si="19"/>
        <v>0</v>
      </c>
      <c r="Y186" s="244">
        <f t="shared" si="20"/>
        <v>0</v>
      </c>
    </row>
    <row r="187" spans="2:25">
      <c r="B187" s="59" t="s">
        <v>466</v>
      </c>
      <c r="C187" s="10"/>
      <c r="D187" s="3"/>
      <c r="E187" s="483"/>
      <c r="F187" s="35"/>
      <c r="G187" s="35"/>
      <c r="H187" s="51" t="s">
        <v>341</v>
      </c>
      <c r="I187" s="3"/>
      <c r="J187" s="331">
        <f t="shared" si="21"/>
        <v>0</v>
      </c>
      <c r="K187" s="331">
        <f t="shared" si="15"/>
        <v>0</v>
      </c>
      <c r="L187" s="326">
        <f>K187*係数!$I$30</f>
        <v>0</v>
      </c>
      <c r="M187" s="326">
        <f>K187*係数!$C$30*0.0000258</f>
        <v>0</v>
      </c>
      <c r="N187" s="10"/>
      <c r="O187" s="3"/>
      <c r="P187" s="483"/>
      <c r="Q187" s="51" t="s">
        <v>341</v>
      </c>
      <c r="R187" s="3"/>
      <c r="S187" s="329">
        <f t="shared" si="16"/>
        <v>0</v>
      </c>
      <c r="T187" s="327">
        <f t="shared" si="17"/>
        <v>0</v>
      </c>
      <c r="U187" s="326">
        <f>T187*係数!$I$30</f>
        <v>0</v>
      </c>
      <c r="V187" s="326">
        <f>T187*係数!$C$30*0.0000258</f>
        <v>0</v>
      </c>
      <c r="W187" s="282">
        <f t="shared" si="18"/>
        <v>0</v>
      </c>
      <c r="X187" s="337">
        <f t="shared" si="19"/>
        <v>0</v>
      </c>
      <c r="Y187" s="244">
        <f t="shared" si="20"/>
        <v>0</v>
      </c>
    </row>
    <row r="188" spans="2:25">
      <c r="B188" s="59" t="s">
        <v>467</v>
      </c>
      <c r="C188" s="10"/>
      <c r="D188" s="3"/>
      <c r="E188" s="483"/>
      <c r="F188" s="35"/>
      <c r="G188" s="35"/>
      <c r="H188" s="51" t="s">
        <v>341</v>
      </c>
      <c r="I188" s="3"/>
      <c r="J188" s="331">
        <f t="shared" si="21"/>
        <v>0</v>
      </c>
      <c r="K188" s="331">
        <f t="shared" si="15"/>
        <v>0</v>
      </c>
      <c r="L188" s="326">
        <f>K188*係数!$I$30</f>
        <v>0</v>
      </c>
      <c r="M188" s="326">
        <f>K188*係数!$C$30*0.0000258</f>
        <v>0</v>
      </c>
      <c r="N188" s="10"/>
      <c r="O188" s="3"/>
      <c r="P188" s="483"/>
      <c r="Q188" s="51" t="s">
        <v>341</v>
      </c>
      <c r="R188" s="3"/>
      <c r="S188" s="329">
        <f t="shared" si="16"/>
        <v>0</v>
      </c>
      <c r="T188" s="327">
        <f t="shared" si="17"/>
        <v>0</v>
      </c>
      <c r="U188" s="326">
        <f>T188*係数!$I$30</f>
        <v>0</v>
      </c>
      <c r="V188" s="326">
        <f>T188*係数!$C$30*0.0000258</f>
        <v>0</v>
      </c>
      <c r="W188" s="282">
        <f t="shared" si="18"/>
        <v>0</v>
      </c>
      <c r="X188" s="337">
        <f t="shared" si="19"/>
        <v>0</v>
      </c>
      <c r="Y188" s="244">
        <f t="shared" si="20"/>
        <v>0</v>
      </c>
    </row>
    <row r="189" spans="2:25">
      <c r="B189" s="59" t="s">
        <v>468</v>
      </c>
      <c r="C189" s="10"/>
      <c r="D189" s="3"/>
      <c r="E189" s="483"/>
      <c r="F189" s="35"/>
      <c r="G189" s="35"/>
      <c r="H189" s="51" t="s">
        <v>341</v>
      </c>
      <c r="I189" s="3"/>
      <c r="J189" s="331">
        <f t="shared" si="21"/>
        <v>0</v>
      </c>
      <c r="K189" s="331">
        <f t="shared" si="15"/>
        <v>0</v>
      </c>
      <c r="L189" s="326">
        <f>K189*係数!$I$30</f>
        <v>0</v>
      </c>
      <c r="M189" s="326">
        <f>K189*係数!$C$30*0.0000258</f>
        <v>0</v>
      </c>
      <c r="N189" s="10"/>
      <c r="O189" s="3"/>
      <c r="P189" s="483"/>
      <c r="Q189" s="51" t="s">
        <v>341</v>
      </c>
      <c r="R189" s="3"/>
      <c r="S189" s="329">
        <f t="shared" si="16"/>
        <v>0</v>
      </c>
      <c r="T189" s="327">
        <f t="shared" si="17"/>
        <v>0</v>
      </c>
      <c r="U189" s="326">
        <f>T189*係数!$I$30</f>
        <v>0</v>
      </c>
      <c r="V189" s="326">
        <f>T189*係数!$C$30*0.0000258</f>
        <v>0</v>
      </c>
      <c r="W189" s="282">
        <f t="shared" si="18"/>
        <v>0</v>
      </c>
      <c r="X189" s="337">
        <f t="shared" si="19"/>
        <v>0</v>
      </c>
      <c r="Y189" s="244">
        <f t="shared" si="20"/>
        <v>0</v>
      </c>
    </row>
    <row r="190" spans="2:25">
      <c r="B190" s="59" t="s">
        <v>469</v>
      </c>
      <c r="C190" s="10"/>
      <c r="D190" s="3"/>
      <c r="E190" s="483"/>
      <c r="F190" s="35"/>
      <c r="G190" s="35"/>
      <c r="H190" s="51" t="s">
        <v>341</v>
      </c>
      <c r="I190" s="3"/>
      <c r="J190" s="331">
        <f t="shared" si="21"/>
        <v>0</v>
      </c>
      <c r="K190" s="331">
        <f t="shared" si="15"/>
        <v>0</v>
      </c>
      <c r="L190" s="326">
        <f>K190*係数!$I$30</f>
        <v>0</v>
      </c>
      <c r="M190" s="326">
        <f>K190*係数!$C$30*0.0000258</f>
        <v>0</v>
      </c>
      <c r="N190" s="10"/>
      <c r="O190" s="3"/>
      <c r="P190" s="483"/>
      <c r="Q190" s="51" t="s">
        <v>341</v>
      </c>
      <c r="R190" s="3"/>
      <c r="S190" s="329">
        <f t="shared" si="16"/>
        <v>0</v>
      </c>
      <c r="T190" s="327">
        <f t="shared" si="17"/>
        <v>0</v>
      </c>
      <c r="U190" s="326">
        <f>T190*係数!$I$30</f>
        <v>0</v>
      </c>
      <c r="V190" s="326">
        <f>T190*係数!$C$30*0.0000258</f>
        <v>0</v>
      </c>
      <c r="W190" s="282">
        <f t="shared" si="18"/>
        <v>0</v>
      </c>
      <c r="X190" s="337">
        <f t="shared" si="19"/>
        <v>0</v>
      </c>
      <c r="Y190" s="244">
        <f t="shared" si="20"/>
        <v>0</v>
      </c>
    </row>
    <row r="191" spans="2:25">
      <c r="B191" s="59" t="s">
        <v>470</v>
      </c>
      <c r="C191" s="10"/>
      <c r="D191" s="3"/>
      <c r="E191" s="483"/>
      <c r="F191" s="35"/>
      <c r="G191" s="35"/>
      <c r="H191" s="51" t="s">
        <v>341</v>
      </c>
      <c r="I191" s="3"/>
      <c r="J191" s="331">
        <f t="shared" si="21"/>
        <v>0</v>
      </c>
      <c r="K191" s="331">
        <f t="shared" si="15"/>
        <v>0</v>
      </c>
      <c r="L191" s="326">
        <f>K191*係数!$I$30</f>
        <v>0</v>
      </c>
      <c r="M191" s="326">
        <f>K191*係数!$C$30*0.0000258</f>
        <v>0</v>
      </c>
      <c r="N191" s="10"/>
      <c r="O191" s="3"/>
      <c r="P191" s="483"/>
      <c r="Q191" s="51" t="s">
        <v>341</v>
      </c>
      <c r="R191" s="3"/>
      <c r="S191" s="329">
        <f t="shared" si="16"/>
        <v>0</v>
      </c>
      <c r="T191" s="327">
        <f t="shared" si="17"/>
        <v>0</v>
      </c>
      <c r="U191" s="326">
        <f>T191*係数!$I$30</f>
        <v>0</v>
      </c>
      <c r="V191" s="326">
        <f>T191*係数!$C$30*0.0000258</f>
        <v>0</v>
      </c>
      <c r="W191" s="282">
        <f t="shared" si="18"/>
        <v>0</v>
      </c>
      <c r="X191" s="337">
        <f t="shared" si="19"/>
        <v>0</v>
      </c>
      <c r="Y191" s="244">
        <f t="shared" si="20"/>
        <v>0</v>
      </c>
    </row>
    <row r="192" spans="2:25">
      <c r="B192" s="59" t="s">
        <v>471</v>
      </c>
      <c r="C192" s="10"/>
      <c r="D192" s="3"/>
      <c r="E192" s="483"/>
      <c r="F192" s="35"/>
      <c r="G192" s="35"/>
      <c r="H192" s="51" t="s">
        <v>341</v>
      </c>
      <c r="I192" s="3"/>
      <c r="J192" s="331">
        <f t="shared" si="21"/>
        <v>0</v>
      </c>
      <c r="K192" s="331">
        <f t="shared" si="15"/>
        <v>0</v>
      </c>
      <c r="L192" s="326">
        <f>K192*係数!$I$30</f>
        <v>0</v>
      </c>
      <c r="M192" s="326">
        <f>K192*係数!$C$30*0.0000258</f>
        <v>0</v>
      </c>
      <c r="N192" s="10"/>
      <c r="O192" s="3"/>
      <c r="P192" s="483"/>
      <c r="Q192" s="51" t="s">
        <v>341</v>
      </c>
      <c r="R192" s="3"/>
      <c r="S192" s="329">
        <f t="shared" si="16"/>
        <v>0</v>
      </c>
      <c r="T192" s="327">
        <f t="shared" si="17"/>
        <v>0</v>
      </c>
      <c r="U192" s="326">
        <f>T192*係数!$I$30</f>
        <v>0</v>
      </c>
      <c r="V192" s="326">
        <f>T192*係数!$C$30*0.0000258</f>
        <v>0</v>
      </c>
      <c r="W192" s="282">
        <f t="shared" si="18"/>
        <v>0</v>
      </c>
      <c r="X192" s="337">
        <f t="shared" si="19"/>
        <v>0</v>
      </c>
      <c r="Y192" s="244">
        <f t="shared" si="20"/>
        <v>0</v>
      </c>
    </row>
    <row r="193" spans="2:25">
      <c r="B193" s="59" t="s">
        <v>472</v>
      </c>
      <c r="C193" s="10"/>
      <c r="D193" s="3"/>
      <c r="E193" s="483"/>
      <c r="F193" s="35"/>
      <c r="G193" s="35"/>
      <c r="H193" s="51" t="s">
        <v>341</v>
      </c>
      <c r="I193" s="3"/>
      <c r="J193" s="331">
        <f t="shared" si="21"/>
        <v>0</v>
      </c>
      <c r="K193" s="331">
        <f t="shared" si="15"/>
        <v>0</v>
      </c>
      <c r="L193" s="326">
        <f>K193*係数!$I$30</f>
        <v>0</v>
      </c>
      <c r="M193" s="326">
        <f>K193*係数!$C$30*0.0000258</f>
        <v>0</v>
      </c>
      <c r="N193" s="10"/>
      <c r="O193" s="3"/>
      <c r="P193" s="483"/>
      <c r="Q193" s="51" t="s">
        <v>341</v>
      </c>
      <c r="R193" s="3"/>
      <c r="S193" s="329">
        <f t="shared" si="16"/>
        <v>0</v>
      </c>
      <c r="T193" s="327">
        <f t="shared" si="17"/>
        <v>0</v>
      </c>
      <c r="U193" s="326">
        <f>T193*係数!$I$30</f>
        <v>0</v>
      </c>
      <c r="V193" s="326">
        <f>T193*係数!$C$30*0.0000258</f>
        <v>0</v>
      </c>
      <c r="W193" s="282">
        <f t="shared" si="18"/>
        <v>0</v>
      </c>
      <c r="X193" s="337">
        <f t="shared" si="19"/>
        <v>0</v>
      </c>
      <c r="Y193" s="244">
        <f t="shared" si="20"/>
        <v>0</v>
      </c>
    </row>
    <row r="194" spans="2:25">
      <c r="B194" s="59" t="s">
        <v>473</v>
      </c>
      <c r="C194" s="10"/>
      <c r="D194" s="3"/>
      <c r="E194" s="483"/>
      <c r="F194" s="35"/>
      <c r="G194" s="35"/>
      <c r="H194" s="51" t="s">
        <v>341</v>
      </c>
      <c r="I194" s="3"/>
      <c r="J194" s="331">
        <f t="shared" si="21"/>
        <v>0</v>
      </c>
      <c r="K194" s="331">
        <f t="shared" si="15"/>
        <v>0</v>
      </c>
      <c r="L194" s="326">
        <f>K194*係数!$I$30</f>
        <v>0</v>
      </c>
      <c r="M194" s="326">
        <f>K194*係数!$C$30*0.0000258</f>
        <v>0</v>
      </c>
      <c r="N194" s="10"/>
      <c r="O194" s="3"/>
      <c r="P194" s="483"/>
      <c r="Q194" s="51" t="s">
        <v>341</v>
      </c>
      <c r="R194" s="3"/>
      <c r="S194" s="329">
        <f t="shared" si="16"/>
        <v>0</v>
      </c>
      <c r="T194" s="327">
        <f t="shared" si="17"/>
        <v>0</v>
      </c>
      <c r="U194" s="326">
        <f>T194*係数!$I$30</f>
        <v>0</v>
      </c>
      <c r="V194" s="326">
        <f>T194*係数!$C$30*0.0000258</f>
        <v>0</v>
      </c>
      <c r="W194" s="282">
        <f t="shared" si="18"/>
        <v>0</v>
      </c>
      <c r="X194" s="337">
        <f t="shared" si="19"/>
        <v>0</v>
      </c>
      <c r="Y194" s="244">
        <f t="shared" si="20"/>
        <v>0</v>
      </c>
    </row>
    <row r="195" spans="2:25">
      <c r="B195" s="59" t="s">
        <v>474</v>
      </c>
      <c r="C195" s="10"/>
      <c r="D195" s="3"/>
      <c r="E195" s="483"/>
      <c r="F195" s="35"/>
      <c r="G195" s="35"/>
      <c r="H195" s="51" t="s">
        <v>341</v>
      </c>
      <c r="I195" s="3"/>
      <c r="J195" s="331">
        <f t="shared" si="21"/>
        <v>0</v>
      </c>
      <c r="K195" s="331">
        <f t="shared" si="15"/>
        <v>0</v>
      </c>
      <c r="L195" s="326">
        <f>K195*係数!$I$30</f>
        <v>0</v>
      </c>
      <c r="M195" s="326">
        <f>K195*係数!$C$30*0.0000258</f>
        <v>0</v>
      </c>
      <c r="N195" s="10"/>
      <c r="O195" s="3"/>
      <c r="P195" s="483"/>
      <c r="Q195" s="51" t="s">
        <v>341</v>
      </c>
      <c r="R195" s="3"/>
      <c r="S195" s="329">
        <f t="shared" si="16"/>
        <v>0</v>
      </c>
      <c r="T195" s="327">
        <f t="shared" si="17"/>
        <v>0</v>
      </c>
      <c r="U195" s="326">
        <f>T195*係数!$I$30</f>
        <v>0</v>
      </c>
      <c r="V195" s="326">
        <f>T195*係数!$C$30*0.0000258</f>
        <v>0</v>
      </c>
      <c r="W195" s="282">
        <f t="shared" si="18"/>
        <v>0</v>
      </c>
      <c r="X195" s="337">
        <f t="shared" si="19"/>
        <v>0</v>
      </c>
      <c r="Y195" s="244">
        <f t="shared" si="20"/>
        <v>0</v>
      </c>
    </row>
    <row r="196" spans="2:25">
      <c r="B196" s="59" t="s">
        <v>475</v>
      </c>
      <c r="C196" s="10"/>
      <c r="D196" s="3"/>
      <c r="E196" s="483"/>
      <c r="F196" s="35"/>
      <c r="G196" s="35"/>
      <c r="H196" s="51" t="s">
        <v>341</v>
      </c>
      <c r="I196" s="3"/>
      <c r="J196" s="331">
        <f t="shared" si="21"/>
        <v>0</v>
      </c>
      <c r="K196" s="331">
        <f t="shared" si="15"/>
        <v>0</v>
      </c>
      <c r="L196" s="326">
        <f>K196*係数!$I$30</f>
        <v>0</v>
      </c>
      <c r="M196" s="326">
        <f>K196*係数!$C$30*0.0000258</f>
        <v>0</v>
      </c>
      <c r="N196" s="10"/>
      <c r="O196" s="3"/>
      <c r="P196" s="483"/>
      <c r="Q196" s="51" t="s">
        <v>341</v>
      </c>
      <c r="R196" s="3"/>
      <c r="S196" s="329">
        <f t="shared" si="16"/>
        <v>0</v>
      </c>
      <c r="T196" s="327">
        <f t="shared" si="17"/>
        <v>0</v>
      </c>
      <c r="U196" s="326">
        <f>T196*係数!$I$30</f>
        <v>0</v>
      </c>
      <c r="V196" s="326">
        <f>T196*係数!$C$30*0.0000258</f>
        <v>0</v>
      </c>
      <c r="W196" s="282">
        <f t="shared" si="18"/>
        <v>0</v>
      </c>
      <c r="X196" s="337">
        <f t="shared" si="19"/>
        <v>0</v>
      </c>
      <c r="Y196" s="244">
        <f t="shared" si="20"/>
        <v>0</v>
      </c>
    </row>
    <row r="197" spans="2:25">
      <c r="B197" s="59" t="s">
        <v>476</v>
      </c>
      <c r="C197" s="10"/>
      <c r="D197" s="3"/>
      <c r="E197" s="483"/>
      <c r="F197" s="35"/>
      <c r="G197" s="35"/>
      <c r="H197" s="51" t="s">
        <v>341</v>
      </c>
      <c r="I197" s="3"/>
      <c r="J197" s="331">
        <f t="shared" si="21"/>
        <v>0</v>
      </c>
      <c r="K197" s="331">
        <f t="shared" si="15"/>
        <v>0</v>
      </c>
      <c r="L197" s="326">
        <f>K197*係数!$I$30</f>
        <v>0</v>
      </c>
      <c r="M197" s="326">
        <f>K197*係数!$C$30*0.0000258</f>
        <v>0</v>
      </c>
      <c r="N197" s="10"/>
      <c r="O197" s="3"/>
      <c r="P197" s="483"/>
      <c r="Q197" s="51" t="s">
        <v>341</v>
      </c>
      <c r="R197" s="3"/>
      <c r="S197" s="329">
        <f t="shared" si="16"/>
        <v>0</v>
      </c>
      <c r="T197" s="327">
        <f t="shared" si="17"/>
        <v>0</v>
      </c>
      <c r="U197" s="326">
        <f>T197*係数!$I$30</f>
        <v>0</v>
      </c>
      <c r="V197" s="326">
        <f>T197*係数!$C$30*0.0000258</f>
        <v>0</v>
      </c>
      <c r="W197" s="282">
        <f t="shared" si="18"/>
        <v>0</v>
      </c>
      <c r="X197" s="337">
        <f t="shared" si="19"/>
        <v>0</v>
      </c>
      <c r="Y197" s="244">
        <f t="shared" si="20"/>
        <v>0</v>
      </c>
    </row>
    <row r="198" spans="2:25">
      <c r="B198" s="59" t="s">
        <v>477</v>
      </c>
      <c r="C198" s="10"/>
      <c r="D198" s="3"/>
      <c r="E198" s="483"/>
      <c r="F198" s="35"/>
      <c r="G198" s="35"/>
      <c r="H198" s="51" t="s">
        <v>341</v>
      </c>
      <c r="I198" s="3"/>
      <c r="J198" s="331">
        <f t="shared" si="21"/>
        <v>0</v>
      </c>
      <c r="K198" s="331">
        <f t="shared" si="15"/>
        <v>0</v>
      </c>
      <c r="L198" s="326">
        <f>K198*係数!$I$30</f>
        <v>0</v>
      </c>
      <c r="M198" s="326">
        <f>K198*係数!$C$30*0.0000258</f>
        <v>0</v>
      </c>
      <c r="N198" s="10"/>
      <c r="O198" s="3"/>
      <c r="P198" s="483"/>
      <c r="Q198" s="51" t="s">
        <v>341</v>
      </c>
      <c r="R198" s="3"/>
      <c r="S198" s="329">
        <f t="shared" si="16"/>
        <v>0</v>
      </c>
      <c r="T198" s="327">
        <f t="shared" si="17"/>
        <v>0</v>
      </c>
      <c r="U198" s="326">
        <f>T198*係数!$I$30</f>
        <v>0</v>
      </c>
      <c r="V198" s="326">
        <f>T198*係数!$C$30*0.0000258</f>
        <v>0</v>
      </c>
      <c r="W198" s="282">
        <f t="shared" si="18"/>
        <v>0</v>
      </c>
      <c r="X198" s="337">
        <f t="shared" si="19"/>
        <v>0</v>
      </c>
      <c r="Y198" s="244">
        <f t="shared" si="20"/>
        <v>0</v>
      </c>
    </row>
    <row r="199" spans="2:25">
      <c r="B199" s="59" t="s">
        <v>478</v>
      </c>
      <c r="C199" s="10"/>
      <c r="D199" s="3"/>
      <c r="E199" s="483"/>
      <c r="F199" s="35"/>
      <c r="G199" s="35"/>
      <c r="H199" s="51" t="s">
        <v>341</v>
      </c>
      <c r="I199" s="3"/>
      <c r="J199" s="331">
        <f t="shared" si="21"/>
        <v>0</v>
      </c>
      <c r="K199" s="331">
        <f t="shared" si="15"/>
        <v>0</v>
      </c>
      <c r="L199" s="326">
        <f>K199*係数!$I$30</f>
        <v>0</v>
      </c>
      <c r="M199" s="326">
        <f>K199*係数!$C$30*0.0000258</f>
        <v>0</v>
      </c>
      <c r="N199" s="10"/>
      <c r="O199" s="3"/>
      <c r="P199" s="483"/>
      <c r="Q199" s="51" t="s">
        <v>341</v>
      </c>
      <c r="R199" s="3"/>
      <c r="S199" s="329">
        <f t="shared" si="16"/>
        <v>0</v>
      </c>
      <c r="T199" s="327">
        <f t="shared" si="17"/>
        <v>0</v>
      </c>
      <c r="U199" s="326">
        <f>T199*係数!$I$30</f>
        <v>0</v>
      </c>
      <c r="V199" s="326">
        <f>T199*係数!$C$30*0.0000258</f>
        <v>0</v>
      </c>
      <c r="W199" s="282">
        <f t="shared" si="18"/>
        <v>0</v>
      </c>
      <c r="X199" s="337">
        <f t="shared" si="19"/>
        <v>0</v>
      </c>
      <c r="Y199" s="244">
        <f t="shared" si="20"/>
        <v>0</v>
      </c>
    </row>
    <row r="200" spans="2:25">
      <c r="B200" s="59" t="s">
        <v>479</v>
      </c>
      <c r="C200" s="10"/>
      <c r="D200" s="3"/>
      <c r="E200" s="483"/>
      <c r="F200" s="35"/>
      <c r="G200" s="35"/>
      <c r="H200" s="51" t="s">
        <v>341</v>
      </c>
      <c r="I200" s="3"/>
      <c r="J200" s="331">
        <f t="shared" si="21"/>
        <v>0</v>
      </c>
      <c r="K200" s="331">
        <f t="shared" si="15"/>
        <v>0</v>
      </c>
      <c r="L200" s="326">
        <f>K200*係数!$I$30</f>
        <v>0</v>
      </c>
      <c r="M200" s="326">
        <f>K200*係数!$C$30*0.0000258</f>
        <v>0</v>
      </c>
      <c r="N200" s="10"/>
      <c r="O200" s="3"/>
      <c r="P200" s="483"/>
      <c r="Q200" s="51" t="s">
        <v>341</v>
      </c>
      <c r="R200" s="3"/>
      <c r="S200" s="329">
        <f t="shared" si="16"/>
        <v>0</v>
      </c>
      <c r="T200" s="327">
        <f t="shared" si="17"/>
        <v>0</v>
      </c>
      <c r="U200" s="326">
        <f>T200*係数!$I$30</f>
        <v>0</v>
      </c>
      <c r="V200" s="326">
        <f>T200*係数!$C$30*0.0000258</f>
        <v>0</v>
      </c>
      <c r="W200" s="282">
        <f t="shared" si="18"/>
        <v>0</v>
      </c>
      <c r="X200" s="337">
        <f t="shared" si="19"/>
        <v>0</v>
      </c>
      <c r="Y200" s="244">
        <f t="shared" si="20"/>
        <v>0</v>
      </c>
    </row>
    <row r="201" spans="2:25">
      <c r="B201" s="59" t="s">
        <v>480</v>
      </c>
      <c r="C201" s="10"/>
      <c r="D201" s="3"/>
      <c r="E201" s="483"/>
      <c r="F201" s="35"/>
      <c r="G201" s="35"/>
      <c r="H201" s="51" t="s">
        <v>341</v>
      </c>
      <c r="I201" s="3"/>
      <c r="J201" s="331">
        <f t="shared" si="21"/>
        <v>0</v>
      </c>
      <c r="K201" s="331">
        <f t="shared" si="15"/>
        <v>0</v>
      </c>
      <c r="L201" s="326">
        <f>K201*係数!$I$30</f>
        <v>0</v>
      </c>
      <c r="M201" s="326">
        <f>K201*係数!$C$30*0.0000258</f>
        <v>0</v>
      </c>
      <c r="N201" s="10"/>
      <c r="O201" s="3"/>
      <c r="P201" s="483"/>
      <c r="Q201" s="51" t="s">
        <v>341</v>
      </c>
      <c r="R201" s="3"/>
      <c r="S201" s="329">
        <f t="shared" si="16"/>
        <v>0</v>
      </c>
      <c r="T201" s="327">
        <f t="shared" si="17"/>
        <v>0</v>
      </c>
      <c r="U201" s="326">
        <f>T201*係数!$I$30</f>
        <v>0</v>
      </c>
      <c r="V201" s="326">
        <f>T201*係数!$C$30*0.0000258</f>
        <v>0</v>
      </c>
      <c r="W201" s="282">
        <f t="shared" si="18"/>
        <v>0</v>
      </c>
      <c r="X201" s="337">
        <f t="shared" si="19"/>
        <v>0</v>
      </c>
      <c r="Y201" s="244">
        <f t="shared" si="20"/>
        <v>0</v>
      </c>
    </row>
    <row r="202" spans="2:25">
      <c r="B202" s="59" t="s">
        <v>481</v>
      </c>
      <c r="C202" s="10"/>
      <c r="D202" s="3"/>
      <c r="E202" s="483"/>
      <c r="F202" s="35"/>
      <c r="G202" s="35"/>
      <c r="H202" s="51" t="s">
        <v>341</v>
      </c>
      <c r="I202" s="3"/>
      <c r="J202" s="331">
        <f t="shared" si="21"/>
        <v>0</v>
      </c>
      <c r="K202" s="331">
        <f t="shared" si="15"/>
        <v>0</v>
      </c>
      <c r="L202" s="326">
        <f>K202*係数!$I$30</f>
        <v>0</v>
      </c>
      <c r="M202" s="326">
        <f>K202*係数!$C$30*0.0000258</f>
        <v>0</v>
      </c>
      <c r="N202" s="10"/>
      <c r="O202" s="3"/>
      <c r="P202" s="483"/>
      <c r="Q202" s="51" t="s">
        <v>341</v>
      </c>
      <c r="R202" s="3"/>
      <c r="S202" s="329">
        <f t="shared" si="16"/>
        <v>0</v>
      </c>
      <c r="T202" s="327">
        <f t="shared" si="17"/>
        <v>0</v>
      </c>
      <c r="U202" s="326">
        <f>T202*係数!$I$30</f>
        <v>0</v>
      </c>
      <c r="V202" s="326">
        <f>T202*係数!$C$30*0.0000258</f>
        <v>0</v>
      </c>
      <c r="W202" s="282">
        <f t="shared" si="18"/>
        <v>0</v>
      </c>
      <c r="X202" s="337">
        <f t="shared" si="19"/>
        <v>0</v>
      </c>
      <c r="Y202" s="244">
        <f t="shared" si="20"/>
        <v>0</v>
      </c>
    </row>
    <row r="203" spans="2:25">
      <c r="B203" s="59" t="s">
        <v>482</v>
      </c>
      <c r="C203" s="10"/>
      <c r="D203" s="3"/>
      <c r="E203" s="483"/>
      <c r="F203" s="35"/>
      <c r="G203" s="35"/>
      <c r="H203" s="51" t="s">
        <v>341</v>
      </c>
      <c r="I203" s="3"/>
      <c r="J203" s="331">
        <f t="shared" si="21"/>
        <v>0</v>
      </c>
      <c r="K203" s="331">
        <f t="shared" si="15"/>
        <v>0</v>
      </c>
      <c r="L203" s="326">
        <f>K203*係数!$I$30</f>
        <v>0</v>
      </c>
      <c r="M203" s="326">
        <f>K203*係数!$C$30*0.0000258</f>
        <v>0</v>
      </c>
      <c r="N203" s="10"/>
      <c r="O203" s="3"/>
      <c r="P203" s="483"/>
      <c r="Q203" s="51" t="s">
        <v>341</v>
      </c>
      <c r="R203" s="3"/>
      <c r="S203" s="329">
        <f t="shared" si="16"/>
        <v>0</v>
      </c>
      <c r="T203" s="327">
        <f t="shared" si="17"/>
        <v>0</v>
      </c>
      <c r="U203" s="326">
        <f>T203*係数!$I$30</f>
        <v>0</v>
      </c>
      <c r="V203" s="326">
        <f>T203*係数!$C$30*0.0000258</f>
        <v>0</v>
      </c>
      <c r="W203" s="282">
        <f t="shared" si="18"/>
        <v>0</v>
      </c>
      <c r="X203" s="337">
        <f t="shared" si="19"/>
        <v>0</v>
      </c>
      <c r="Y203" s="244">
        <f t="shared" si="20"/>
        <v>0</v>
      </c>
    </row>
    <row r="204" spans="2:25">
      <c r="B204" s="59" t="s">
        <v>483</v>
      </c>
      <c r="C204" s="10"/>
      <c r="D204" s="3"/>
      <c r="E204" s="483"/>
      <c r="F204" s="35"/>
      <c r="G204" s="35"/>
      <c r="H204" s="51" t="s">
        <v>341</v>
      </c>
      <c r="I204" s="3"/>
      <c r="J204" s="331">
        <f t="shared" si="21"/>
        <v>0</v>
      </c>
      <c r="K204" s="331">
        <f t="shared" si="15"/>
        <v>0</v>
      </c>
      <c r="L204" s="326">
        <f>K204*係数!$I$30</f>
        <v>0</v>
      </c>
      <c r="M204" s="326">
        <f>K204*係数!$C$30*0.0000258</f>
        <v>0</v>
      </c>
      <c r="N204" s="10"/>
      <c r="O204" s="3"/>
      <c r="P204" s="483"/>
      <c r="Q204" s="51" t="s">
        <v>341</v>
      </c>
      <c r="R204" s="3"/>
      <c r="S204" s="329">
        <f t="shared" si="16"/>
        <v>0</v>
      </c>
      <c r="T204" s="327">
        <f t="shared" si="17"/>
        <v>0</v>
      </c>
      <c r="U204" s="326">
        <f>T204*係数!$I$30</f>
        <v>0</v>
      </c>
      <c r="V204" s="326">
        <f>T204*係数!$C$30*0.0000258</f>
        <v>0</v>
      </c>
      <c r="W204" s="282">
        <f t="shared" si="18"/>
        <v>0</v>
      </c>
      <c r="X204" s="337">
        <f t="shared" si="19"/>
        <v>0</v>
      </c>
      <c r="Y204" s="244">
        <f t="shared" si="20"/>
        <v>0</v>
      </c>
    </row>
    <row r="205" spans="2:25">
      <c r="B205" s="59" t="s">
        <v>484</v>
      </c>
      <c r="C205" s="10"/>
      <c r="D205" s="3"/>
      <c r="E205" s="483"/>
      <c r="F205" s="35"/>
      <c r="G205" s="35"/>
      <c r="H205" s="51" t="s">
        <v>341</v>
      </c>
      <c r="I205" s="3"/>
      <c r="J205" s="331">
        <f t="shared" si="21"/>
        <v>0</v>
      </c>
      <c r="K205" s="331">
        <f t="shared" si="15"/>
        <v>0</v>
      </c>
      <c r="L205" s="326">
        <f>K205*係数!$I$30</f>
        <v>0</v>
      </c>
      <c r="M205" s="326">
        <f>K205*係数!$C$30*0.0000258</f>
        <v>0</v>
      </c>
      <c r="N205" s="10"/>
      <c r="O205" s="3"/>
      <c r="P205" s="483"/>
      <c r="Q205" s="51" t="s">
        <v>341</v>
      </c>
      <c r="R205" s="3"/>
      <c r="S205" s="329">
        <f t="shared" si="16"/>
        <v>0</v>
      </c>
      <c r="T205" s="327">
        <f t="shared" si="17"/>
        <v>0</v>
      </c>
      <c r="U205" s="326">
        <f>T205*係数!$I$30</f>
        <v>0</v>
      </c>
      <c r="V205" s="326">
        <f>T205*係数!$C$30*0.0000258</f>
        <v>0</v>
      </c>
      <c r="W205" s="282">
        <f t="shared" si="18"/>
        <v>0</v>
      </c>
      <c r="X205" s="337">
        <f t="shared" si="19"/>
        <v>0</v>
      </c>
      <c r="Y205" s="244">
        <f t="shared" si="20"/>
        <v>0</v>
      </c>
    </row>
    <row r="206" spans="2:25">
      <c r="B206" s="59" t="s">
        <v>485</v>
      </c>
      <c r="C206" s="10"/>
      <c r="D206" s="3"/>
      <c r="E206" s="483"/>
      <c r="F206" s="35"/>
      <c r="G206" s="35"/>
      <c r="H206" s="51" t="s">
        <v>341</v>
      </c>
      <c r="I206" s="3"/>
      <c r="J206" s="331">
        <f t="shared" si="21"/>
        <v>0</v>
      </c>
      <c r="K206" s="331">
        <f t="shared" si="15"/>
        <v>0</v>
      </c>
      <c r="L206" s="326">
        <f>K206*係数!$I$30</f>
        <v>0</v>
      </c>
      <c r="M206" s="326">
        <f>K206*係数!$C$30*0.0000258</f>
        <v>0</v>
      </c>
      <c r="N206" s="10"/>
      <c r="O206" s="3"/>
      <c r="P206" s="483"/>
      <c r="Q206" s="51" t="s">
        <v>341</v>
      </c>
      <c r="R206" s="3"/>
      <c r="S206" s="329">
        <f t="shared" si="16"/>
        <v>0</v>
      </c>
      <c r="T206" s="327">
        <f t="shared" si="17"/>
        <v>0</v>
      </c>
      <c r="U206" s="326">
        <f>T206*係数!$I$30</f>
        <v>0</v>
      </c>
      <c r="V206" s="326">
        <f>T206*係数!$C$30*0.0000258</f>
        <v>0</v>
      </c>
      <c r="W206" s="282">
        <f t="shared" si="18"/>
        <v>0</v>
      </c>
      <c r="X206" s="337">
        <f t="shared" si="19"/>
        <v>0</v>
      </c>
      <c r="Y206" s="244">
        <f t="shared" si="20"/>
        <v>0</v>
      </c>
    </row>
    <row r="207" spans="2:25">
      <c r="B207" s="59" t="s">
        <v>486</v>
      </c>
      <c r="C207" s="10"/>
      <c r="D207" s="3"/>
      <c r="E207" s="483"/>
      <c r="F207" s="35"/>
      <c r="G207" s="35"/>
      <c r="H207" s="51" t="s">
        <v>341</v>
      </c>
      <c r="I207" s="3"/>
      <c r="J207" s="331">
        <f t="shared" si="21"/>
        <v>0</v>
      </c>
      <c r="K207" s="331">
        <f t="shared" si="15"/>
        <v>0</v>
      </c>
      <c r="L207" s="326">
        <f>K207*係数!$I$30</f>
        <v>0</v>
      </c>
      <c r="M207" s="326">
        <f>K207*係数!$C$30*0.0000258</f>
        <v>0</v>
      </c>
      <c r="N207" s="10"/>
      <c r="O207" s="3"/>
      <c r="P207" s="483"/>
      <c r="Q207" s="51" t="s">
        <v>341</v>
      </c>
      <c r="R207" s="3"/>
      <c r="S207" s="329">
        <f t="shared" si="16"/>
        <v>0</v>
      </c>
      <c r="T207" s="327">
        <f t="shared" si="17"/>
        <v>0</v>
      </c>
      <c r="U207" s="326">
        <f>T207*係数!$I$30</f>
        <v>0</v>
      </c>
      <c r="V207" s="326">
        <f>T207*係数!$C$30*0.0000258</f>
        <v>0</v>
      </c>
      <c r="W207" s="282">
        <f t="shared" si="18"/>
        <v>0</v>
      </c>
      <c r="X207" s="337">
        <f t="shared" si="19"/>
        <v>0</v>
      </c>
      <c r="Y207" s="244">
        <f t="shared" si="20"/>
        <v>0</v>
      </c>
    </row>
    <row r="208" spans="2:25">
      <c r="B208" s="59" t="s">
        <v>487</v>
      </c>
      <c r="C208" s="10"/>
      <c r="D208" s="3"/>
      <c r="E208" s="483"/>
      <c r="F208" s="35"/>
      <c r="G208" s="35"/>
      <c r="H208" s="51" t="s">
        <v>341</v>
      </c>
      <c r="I208" s="3"/>
      <c r="J208" s="331">
        <f t="shared" si="21"/>
        <v>0</v>
      </c>
      <c r="K208" s="331">
        <f t="shared" si="15"/>
        <v>0</v>
      </c>
      <c r="L208" s="326">
        <f>K208*係数!$I$30</f>
        <v>0</v>
      </c>
      <c r="M208" s="326">
        <f>K208*係数!$C$30*0.0000258</f>
        <v>0</v>
      </c>
      <c r="N208" s="10"/>
      <c r="O208" s="3"/>
      <c r="P208" s="483"/>
      <c r="Q208" s="51" t="s">
        <v>341</v>
      </c>
      <c r="R208" s="3"/>
      <c r="S208" s="329">
        <f t="shared" si="16"/>
        <v>0</v>
      </c>
      <c r="T208" s="327">
        <f t="shared" si="17"/>
        <v>0</v>
      </c>
      <c r="U208" s="326">
        <f>T208*係数!$I$30</f>
        <v>0</v>
      </c>
      <c r="V208" s="326">
        <f>T208*係数!$C$30*0.0000258</f>
        <v>0</v>
      </c>
      <c r="W208" s="282">
        <f t="shared" si="18"/>
        <v>0</v>
      </c>
      <c r="X208" s="337">
        <f t="shared" si="19"/>
        <v>0</v>
      </c>
      <c r="Y208" s="244">
        <f t="shared" si="20"/>
        <v>0</v>
      </c>
    </row>
    <row r="209" spans="2:25">
      <c r="B209" s="59" t="s">
        <v>488</v>
      </c>
      <c r="C209" s="10"/>
      <c r="D209" s="3"/>
      <c r="E209" s="483"/>
      <c r="F209" s="35"/>
      <c r="G209" s="35"/>
      <c r="H209" s="51" t="s">
        <v>341</v>
      </c>
      <c r="I209" s="3"/>
      <c r="J209" s="331">
        <f t="shared" si="21"/>
        <v>0</v>
      </c>
      <c r="K209" s="331">
        <f t="shared" si="15"/>
        <v>0</v>
      </c>
      <c r="L209" s="326">
        <f>K209*係数!$I$30</f>
        <v>0</v>
      </c>
      <c r="M209" s="326">
        <f>K209*係数!$C$30*0.0000258</f>
        <v>0</v>
      </c>
      <c r="N209" s="10"/>
      <c r="O209" s="3"/>
      <c r="P209" s="483"/>
      <c r="Q209" s="51" t="s">
        <v>341</v>
      </c>
      <c r="R209" s="3"/>
      <c r="S209" s="329">
        <f t="shared" si="16"/>
        <v>0</v>
      </c>
      <c r="T209" s="327">
        <f t="shared" si="17"/>
        <v>0</v>
      </c>
      <c r="U209" s="326">
        <f>T209*係数!$I$30</f>
        <v>0</v>
      </c>
      <c r="V209" s="326">
        <f>T209*係数!$C$30*0.0000258</f>
        <v>0</v>
      </c>
      <c r="W209" s="282">
        <f t="shared" si="18"/>
        <v>0</v>
      </c>
      <c r="X209" s="337">
        <f t="shared" si="19"/>
        <v>0</v>
      </c>
      <c r="Y209" s="244">
        <f t="shared" si="20"/>
        <v>0</v>
      </c>
    </row>
    <row r="210" spans="2:25">
      <c r="B210" s="59" t="s">
        <v>489</v>
      </c>
      <c r="C210" s="10"/>
      <c r="D210" s="3"/>
      <c r="E210" s="483"/>
      <c r="F210" s="35"/>
      <c r="G210" s="35"/>
      <c r="H210" s="51" t="s">
        <v>341</v>
      </c>
      <c r="I210" s="3"/>
      <c r="J210" s="331">
        <f t="shared" si="21"/>
        <v>0</v>
      </c>
      <c r="K210" s="331">
        <f t="shared" si="15"/>
        <v>0</v>
      </c>
      <c r="L210" s="326">
        <f>K210*係数!$I$30</f>
        <v>0</v>
      </c>
      <c r="M210" s="326">
        <f>K210*係数!$C$30*0.0000258</f>
        <v>0</v>
      </c>
      <c r="N210" s="10"/>
      <c r="O210" s="3"/>
      <c r="P210" s="483"/>
      <c r="Q210" s="51" t="s">
        <v>341</v>
      </c>
      <c r="R210" s="3"/>
      <c r="S210" s="329">
        <f t="shared" si="16"/>
        <v>0</v>
      </c>
      <c r="T210" s="327">
        <f t="shared" si="17"/>
        <v>0</v>
      </c>
      <c r="U210" s="326">
        <f>T210*係数!$I$30</f>
        <v>0</v>
      </c>
      <c r="V210" s="326">
        <f>T210*係数!$C$30*0.0000258</f>
        <v>0</v>
      </c>
      <c r="W210" s="282">
        <f t="shared" si="18"/>
        <v>0</v>
      </c>
      <c r="X210" s="337">
        <f t="shared" si="19"/>
        <v>0</v>
      </c>
      <c r="Y210" s="244">
        <f t="shared" si="20"/>
        <v>0</v>
      </c>
    </row>
    <row r="211" spans="2:25">
      <c r="B211" s="59" t="s">
        <v>490</v>
      </c>
      <c r="C211" s="10"/>
      <c r="D211" s="3"/>
      <c r="E211" s="483"/>
      <c r="F211" s="35"/>
      <c r="G211" s="35"/>
      <c r="H211" s="51" t="s">
        <v>341</v>
      </c>
      <c r="I211" s="3"/>
      <c r="J211" s="331">
        <f t="shared" si="21"/>
        <v>0</v>
      </c>
      <c r="K211" s="331">
        <f t="shared" si="15"/>
        <v>0</v>
      </c>
      <c r="L211" s="326">
        <f>K211*係数!$I$30</f>
        <v>0</v>
      </c>
      <c r="M211" s="326">
        <f>K211*係数!$C$30*0.0000258</f>
        <v>0</v>
      </c>
      <c r="N211" s="10"/>
      <c r="O211" s="3"/>
      <c r="P211" s="483"/>
      <c r="Q211" s="51" t="s">
        <v>341</v>
      </c>
      <c r="R211" s="3"/>
      <c r="S211" s="329">
        <f t="shared" si="16"/>
        <v>0</v>
      </c>
      <c r="T211" s="327">
        <f t="shared" si="17"/>
        <v>0</v>
      </c>
      <c r="U211" s="326">
        <f>T211*係数!$I$30</f>
        <v>0</v>
      </c>
      <c r="V211" s="326">
        <f>T211*係数!$C$30*0.0000258</f>
        <v>0</v>
      </c>
      <c r="W211" s="282">
        <f t="shared" si="18"/>
        <v>0</v>
      </c>
      <c r="X211" s="337">
        <f t="shared" si="19"/>
        <v>0</v>
      </c>
      <c r="Y211" s="244">
        <f t="shared" si="20"/>
        <v>0</v>
      </c>
    </row>
    <row r="212" spans="2:25">
      <c r="B212" s="59" t="s">
        <v>491</v>
      </c>
      <c r="C212" s="10"/>
      <c r="D212" s="3"/>
      <c r="E212" s="483"/>
      <c r="F212" s="35"/>
      <c r="G212" s="35"/>
      <c r="H212" s="51" t="s">
        <v>341</v>
      </c>
      <c r="I212" s="3"/>
      <c r="J212" s="331">
        <f t="shared" si="21"/>
        <v>0</v>
      </c>
      <c r="K212" s="331">
        <f t="shared" si="15"/>
        <v>0</v>
      </c>
      <c r="L212" s="326">
        <f>K212*係数!$I$30</f>
        <v>0</v>
      </c>
      <c r="M212" s="326">
        <f>K212*係数!$C$30*0.0000258</f>
        <v>0</v>
      </c>
      <c r="N212" s="10"/>
      <c r="O212" s="3"/>
      <c r="P212" s="483"/>
      <c r="Q212" s="51" t="s">
        <v>341</v>
      </c>
      <c r="R212" s="3"/>
      <c r="S212" s="329">
        <f t="shared" si="16"/>
        <v>0</v>
      </c>
      <c r="T212" s="327">
        <f t="shared" si="17"/>
        <v>0</v>
      </c>
      <c r="U212" s="326">
        <f>T212*係数!$I$30</f>
        <v>0</v>
      </c>
      <c r="V212" s="326">
        <f>T212*係数!$C$30*0.0000258</f>
        <v>0</v>
      </c>
      <c r="W212" s="282">
        <f t="shared" si="18"/>
        <v>0</v>
      </c>
      <c r="X212" s="337">
        <f t="shared" si="19"/>
        <v>0</v>
      </c>
      <c r="Y212" s="244">
        <f t="shared" si="20"/>
        <v>0</v>
      </c>
    </row>
    <row r="213" spans="2:25">
      <c r="B213" s="59" t="s">
        <v>492</v>
      </c>
      <c r="C213" s="10"/>
      <c r="D213" s="3"/>
      <c r="E213" s="483"/>
      <c r="F213" s="35"/>
      <c r="G213" s="35"/>
      <c r="H213" s="51" t="s">
        <v>341</v>
      </c>
      <c r="I213" s="3"/>
      <c r="J213" s="331">
        <f t="shared" si="21"/>
        <v>0</v>
      </c>
      <c r="K213" s="331">
        <f t="shared" ref="K213:K276" si="22">E213*D213*J213/1000</f>
        <v>0</v>
      </c>
      <c r="L213" s="326">
        <f>K213*係数!$I$30</f>
        <v>0</v>
      </c>
      <c r="M213" s="326">
        <f>K213*係数!$C$30*0.0000258</f>
        <v>0</v>
      </c>
      <c r="N213" s="10"/>
      <c r="O213" s="3"/>
      <c r="P213" s="483"/>
      <c r="Q213" s="51" t="s">
        <v>341</v>
      </c>
      <c r="R213" s="3"/>
      <c r="S213" s="329">
        <f t="shared" ref="S213:S276" si="23">IF(Q213="○",F213*G213*R213/100,F213*G213)</f>
        <v>0</v>
      </c>
      <c r="T213" s="327">
        <f t="shared" ref="T213:T276" si="24">P213*O213*S213/1000</f>
        <v>0</v>
      </c>
      <c r="U213" s="326">
        <f>T213*係数!$I$30</f>
        <v>0</v>
      </c>
      <c r="V213" s="326">
        <f>T213*係数!$C$30*0.0000258</f>
        <v>0</v>
      </c>
      <c r="W213" s="282">
        <f t="shared" ref="W213:W276" si="25">K213-T213</f>
        <v>0</v>
      </c>
      <c r="X213" s="337">
        <f t="shared" ref="X213:X276" si="26">L213-U213</f>
        <v>0</v>
      </c>
      <c r="Y213" s="244">
        <f t="shared" ref="Y213:Y276" si="27">M213-V213</f>
        <v>0</v>
      </c>
    </row>
    <row r="214" spans="2:25">
      <c r="B214" s="59" t="s">
        <v>493</v>
      </c>
      <c r="C214" s="10"/>
      <c r="D214" s="3"/>
      <c r="E214" s="483"/>
      <c r="F214" s="35"/>
      <c r="G214" s="35"/>
      <c r="H214" s="51" t="s">
        <v>341</v>
      </c>
      <c r="I214" s="3"/>
      <c r="J214" s="331">
        <f t="shared" ref="J214:J277" si="28">IF(H214="○",F214*G214*I214/100,F214*G214)</f>
        <v>0</v>
      </c>
      <c r="K214" s="331">
        <f t="shared" si="22"/>
        <v>0</v>
      </c>
      <c r="L214" s="326">
        <f>K214*係数!$I$30</f>
        <v>0</v>
      </c>
      <c r="M214" s="326">
        <f>K214*係数!$C$30*0.0000258</f>
        <v>0</v>
      </c>
      <c r="N214" s="10"/>
      <c r="O214" s="3"/>
      <c r="P214" s="483"/>
      <c r="Q214" s="51" t="s">
        <v>341</v>
      </c>
      <c r="R214" s="3"/>
      <c r="S214" s="329">
        <f t="shared" si="23"/>
        <v>0</v>
      </c>
      <c r="T214" s="327">
        <f t="shared" si="24"/>
        <v>0</v>
      </c>
      <c r="U214" s="326">
        <f>T214*係数!$I$30</f>
        <v>0</v>
      </c>
      <c r="V214" s="326">
        <f>T214*係数!$C$30*0.0000258</f>
        <v>0</v>
      </c>
      <c r="W214" s="282">
        <f t="shared" si="25"/>
        <v>0</v>
      </c>
      <c r="X214" s="337">
        <f t="shared" si="26"/>
        <v>0</v>
      </c>
      <c r="Y214" s="244">
        <f t="shared" si="27"/>
        <v>0</v>
      </c>
    </row>
    <row r="215" spans="2:25">
      <c r="B215" s="59" t="s">
        <v>494</v>
      </c>
      <c r="C215" s="10"/>
      <c r="D215" s="3"/>
      <c r="E215" s="483"/>
      <c r="F215" s="35"/>
      <c r="G215" s="35"/>
      <c r="H215" s="51" t="s">
        <v>341</v>
      </c>
      <c r="I215" s="3"/>
      <c r="J215" s="331">
        <f t="shared" si="28"/>
        <v>0</v>
      </c>
      <c r="K215" s="331">
        <f t="shared" si="22"/>
        <v>0</v>
      </c>
      <c r="L215" s="326">
        <f>K215*係数!$I$30</f>
        <v>0</v>
      </c>
      <c r="M215" s="326">
        <f>K215*係数!$C$30*0.0000258</f>
        <v>0</v>
      </c>
      <c r="N215" s="10"/>
      <c r="O215" s="3"/>
      <c r="P215" s="483"/>
      <c r="Q215" s="51" t="s">
        <v>341</v>
      </c>
      <c r="R215" s="3"/>
      <c r="S215" s="329">
        <f t="shared" si="23"/>
        <v>0</v>
      </c>
      <c r="T215" s="327">
        <f t="shared" si="24"/>
        <v>0</v>
      </c>
      <c r="U215" s="326">
        <f>T215*係数!$I$30</f>
        <v>0</v>
      </c>
      <c r="V215" s="326">
        <f>T215*係数!$C$30*0.0000258</f>
        <v>0</v>
      </c>
      <c r="W215" s="282">
        <f t="shared" si="25"/>
        <v>0</v>
      </c>
      <c r="X215" s="337">
        <f t="shared" si="26"/>
        <v>0</v>
      </c>
      <c r="Y215" s="244">
        <f t="shared" si="27"/>
        <v>0</v>
      </c>
    </row>
    <row r="216" spans="2:25">
      <c r="B216" s="59" t="s">
        <v>495</v>
      </c>
      <c r="C216" s="10"/>
      <c r="D216" s="3"/>
      <c r="E216" s="483"/>
      <c r="F216" s="35"/>
      <c r="G216" s="35"/>
      <c r="H216" s="51" t="s">
        <v>341</v>
      </c>
      <c r="I216" s="3"/>
      <c r="J216" s="331">
        <f t="shared" si="28"/>
        <v>0</v>
      </c>
      <c r="K216" s="331">
        <f t="shared" si="22"/>
        <v>0</v>
      </c>
      <c r="L216" s="326">
        <f>K216*係数!$I$30</f>
        <v>0</v>
      </c>
      <c r="M216" s="326">
        <f>K216*係数!$C$30*0.0000258</f>
        <v>0</v>
      </c>
      <c r="N216" s="10"/>
      <c r="O216" s="3"/>
      <c r="P216" s="483"/>
      <c r="Q216" s="51" t="s">
        <v>341</v>
      </c>
      <c r="R216" s="3"/>
      <c r="S216" s="329">
        <f t="shared" si="23"/>
        <v>0</v>
      </c>
      <c r="T216" s="327">
        <f t="shared" si="24"/>
        <v>0</v>
      </c>
      <c r="U216" s="326">
        <f>T216*係数!$I$30</f>
        <v>0</v>
      </c>
      <c r="V216" s="326">
        <f>T216*係数!$C$30*0.0000258</f>
        <v>0</v>
      </c>
      <c r="W216" s="282">
        <f t="shared" si="25"/>
        <v>0</v>
      </c>
      <c r="X216" s="337">
        <f t="shared" si="26"/>
        <v>0</v>
      </c>
      <c r="Y216" s="244">
        <f t="shared" si="27"/>
        <v>0</v>
      </c>
    </row>
    <row r="217" spans="2:25">
      <c r="B217" s="59" t="s">
        <v>496</v>
      </c>
      <c r="C217" s="10"/>
      <c r="D217" s="3"/>
      <c r="E217" s="483"/>
      <c r="F217" s="35"/>
      <c r="G217" s="35"/>
      <c r="H217" s="51" t="s">
        <v>341</v>
      </c>
      <c r="I217" s="3"/>
      <c r="J217" s="331">
        <f t="shared" si="28"/>
        <v>0</v>
      </c>
      <c r="K217" s="331">
        <f t="shared" si="22"/>
        <v>0</v>
      </c>
      <c r="L217" s="326">
        <f>K217*係数!$I$30</f>
        <v>0</v>
      </c>
      <c r="M217" s="326">
        <f>K217*係数!$C$30*0.0000258</f>
        <v>0</v>
      </c>
      <c r="N217" s="10"/>
      <c r="O217" s="3"/>
      <c r="P217" s="483"/>
      <c r="Q217" s="51" t="s">
        <v>341</v>
      </c>
      <c r="R217" s="3"/>
      <c r="S217" s="329">
        <f t="shared" si="23"/>
        <v>0</v>
      </c>
      <c r="T217" s="327">
        <f t="shared" si="24"/>
        <v>0</v>
      </c>
      <c r="U217" s="326">
        <f>T217*係数!$I$30</f>
        <v>0</v>
      </c>
      <c r="V217" s="326">
        <f>T217*係数!$C$30*0.0000258</f>
        <v>0</v>
      </c>
      <c r="W217" s="282">
        <f t="shared" si="25"/>
        <v>0</v>
      </c>
      <c r="X217" s="337">
        <f t="shared" si="26"/>
        <v>0</v>
      </c>
      <c r="Y217" s="244">
        <f t="shared" si="27"/>
        <v>0</v>
      </c>
    </row>
    <row r="218" spans="2:25">
      <c r="B218" s="59" t="s">
        <v>497</v>
      </c>
      <c r="C218" s="10"/>
      <c r="D218" s="3"/>
      <c r="E218" s="483"/>
      <c r="F218" s="35"/>
      <c r="G218" s="35"/>
      <c r="H218" s="51" t="s">
        <v>341</v>
      </c>
      <c r="I218" s="3"/>
      <c r="J218" s="331">
        <f t="shared" si="28"/>
        <v>0</v>
      </c>
      <c r="K218" s="331">
        <f t="shared" si="22"/>
        <v>0</v>
      </c>
      <c r="L218" s="326">
        <f>K218*係数!$I$30</f>
        <v>0</v>
      </c>
      <c r="M218" s="326">
        <f>K218*係数!$C$30*0.0000258</f>
        <v>0</v>
      </c>
      <c r="N218" s="10"/>
      <c r="O218" s="3"/>
      <c r="P218" s="483"/>
      <c r="Q218" s="51" t="s">
        <v>341</v>
      </c>
      <c r="R218" s="3"/>
      <c r="S218" s="329">
        <f t="shared" si="23"/>
        <v>0</v>
      </c>
      <c r="T218" s="327">
        <f t="shared" si="24"/>
        <v>0</v>
      </c>
      <c r="U218" s="326">
        <f>T218*係数!$I$30</f>
        <v>0</v>
      </c>
      <c r="V218" s="326">
        <f>T218*係数!$C$30*0.0000258</f>
        <v>0</v>
      </c>
      <c r="W218" s="282">
        <f t="shared" si="25"/>
        <v>0</v>
      </c>
      <c r="X218" s="337">
        <f t="shared" si="26"/>
        <v>0</v>
      </c>
      <c r="Y218" s="244">
        <f t="shared" si="27"/>
        <v>0</v>
      </c>
    </row>
    <row r="219" spans="2:25">
      <c r="B219" s="59" t="s">
        <v>498</v>
      </c>
      <c r="C219" s="10"/>
      <c r="D219" s="3"/>
      <c r="E219" s="483"/>
      <c r="F219" s="35"/>
      <c r="G219" s="35"/>
      <c r="H219" s="51" t="s">
        <v>341</v>
      </c>
      <c r="I219" s="3"/>
      <c r="J219" s="331">
        <f t="shared" si="28"/>
        <v>0</v>
      </c>
      <c r="K219" s="331">
        <f t="shared" si="22"/>
        <v>0</v>
      </c>
      <c r="L219" s="326">
        <f>K219*係数!$I$30</f>
        <v>0</v>
      </c>
      <c r="M219" s="326">
        <f>K219*係数!$C$30*0.0000258</f>
        <v>0</v>
      </c>
      <c r="N219" s="10"/>
      <c r="O219" s="3"/>
      <c r="P219" s="483"/>
      <c r="Q219" s="51" t="s">
        <v>341</v>
      </c>
      <c r="R219" s="3"/>
      <c r="S219" s="329">
        <f t="shared" si="23"/>
        <v>0</v>
      </c>
      <c r="T219" s="327">
        <f t="shared" si="24"/>
        <v>0</v>
      </c>
      <c r="U219" s="326">
        <f>T219*係数!$I$30</f>
        <v>0</v>
      </c>
      <c r="V219" s="326">
        <f>T219*係数!$C$30*0.0000258</f>
        <v>0</v>
      </c>
      <c r="W219" s="282">
        <f t="shared" si="25"/>
        <v>0</v>
      </c>
      <c r="X219" s="337">
        <f t="shared" si="26"/>
        <v>0</v>
      </c>
      <c r="Y219" s="244">
        <f t="shared" si="27"/>
        <v>0</v>
      </c>
    </row>
    <row r="220" spans="2:25">
      <c r="B220" s="59" t="s">
        <v>499</v>
      </c>
      <c r="C220" s="10"/>
      <c r="D220" s="3"/>
      <c r="E220" s="483"/>
      <c r="F220" s="35"/>
      <c r="G220" s="35"/>
      <c r="H220" s="51" t="s">
        <v>341</v>
      </c>
      <c r="I220" s="3"/>
      <c r="J220" s="331">
        <f t="shared" si="28"/>
        <v>0</v>
      </c>
      <c r="K220" s="331">
        <f t="shared" si="22"/>
        <v>0</v>
      </c>
      <c r="L220" s="326">
        <f>K220*係数!$I$30</f>
        <v>0</v>
      </c>
      <c r="M220" s="326">
        <f>K220*係数!$C$30*0.0000258</f>
        <v>0</v>
      </c>
      <c r="N220" s="10"/>
      <c r="O220" s="3"/>
      <c r="P220" s="483"/>
      <c r="Q220" s="51" t="s">
        <v>341</v>
      </c>
      <c r="R220" s="3"/>
      <c r="S220" s="329">
        <f t="shared" si="23"/>
        <v>0</v>
      </c>
      <c r="T220" s="327">
        <f t="shared" si="24"/>
        <v>0</v>
      </c>
      <c r="U220" s="326">
        <f>T220*係数!$I$30</f>
        <v>0</v>
      </c>
      <c r="V220" s="326">
        <f>T220*係数!$C$30*0.0000258</f>
        <v>0</v>
      </c>
      <c r="W220" s="282">
        <f t="shared" si="25"/>
        <v>0</v>
      </c>
      <c r="X220" s="337">
        <f t="shared" si="26"/>
        <v>0</v>
      </c>
      <c r="Y220" s="244">
        <f t="shared" si="27"/>
        <v>0</v>
      </c>
    </row>
    <row r="221" spans="2:25">
      <c r="B221" s="59" t="s">
        <v>500</v>
      </c>
      <c r="C221" s="10"/>
      <c r="D221" s="3"/>
      <c r="E221" s="483"/>
      <c r="F221" s="35"/>
      <c r="G221" s="35"/>
      <c r="H221" s="51" t="s">
        <v>341</v>
      </c>
      <c r="I221" s="3"/>
      <c r="J221" s="331">
        <f t="shared" si="28"/>
        <v>0</v>
      </c>
      <c r="K221" s="331">
        <f t="shared" si="22"/>
        <v>0</v>
      </c>
      <c r="L221" s="326">
        <f>K221*係数!$I$30</f>
        <v>0</v>
      </c>
      <c r="M221" s="326">
        <f>K221*係数!$C$30*0.0000258</f>
        <v>0</v>
      </c>
      <c r="N221" s="10"/>
      <c r="O221" s="3"/>
      <c r="P221" s="483"/>
      <c r="Q221" s="51" t="s">
        <v>341</v>
      </c>
      <c r="R221" s="3"/>
      <c r="S221" s="329">
        <f t="shared" si="23"/>
        <v>0</v>
      </c>
      <c r="T221" s="327">
        <f t="shared" si="24"/>
        <v>0</v>
      </c>
      <c r="U221" s="326">
        <f>T221*係数!$I$30</f>
        <v>0</v>
      </c>
      <c r="V221" s="326">
        <f>T221*係数!$C$30*0.0000258</f>
        <v>0</v>
      </c>
      <c r="W221" s="282">
        <f t="shared" si="25"/>
        <v>0</v>
      </c>
      <c r="X221" s="337">
        <f t="shared" si="26"/>
        <v>0</v>
      </c>
      <c r="Y221" s="244">
        <f t="shared" si="27"/>
        <v>0</v>
      </c>
    </row>
    <row r="222" spans="2:25">
      <c r="B222" s="59" t="s">
        <v>501</v>
      </c>
      <c r="C222" s="10"/>
      <c r="D222" s="3"/>
      <c r="E222" s="483"/>
      <c r="F222" s="35"/>
      <c r="G222" s="35"/>
      <c r="H222" s="51" t="s">
        <v>341</v>
      </c>
      <c r="I222" s="3"/>
      <c r="J222" s="331">
        <f t="shared" si="28"/>
        <v>0</v>
      </c>
      <c r="K222" s="331">
        <f t="shared" si="22"/>
        <v>0</v>
      </c>
      <c r="L222" s="326">
        <f>K222*係数!$I$30</f>
        <v>0</v>
      </c>
      <c r="M222" s="326">
        <f>K222*係数!$C$30*0.0000258</f>
        <v>0</v>
      </c>
      <c r="N222" s="10"/>
      <c r="O222" s="3"/>
      <c r="P222" s="483"/>
      <c r="Q222" s="51" t="s">
        <v>341</v>
      </c>
      <c r="R222" s="3"/>
      <c r="S222" s="329">
        <f t="shared" si="23"/>
        <v>0</v>
      </c>
      <c r="T222" s="327">
        <f t="shared" si="24"/>
        <v>0</v>
      </c>
      <c r="U222" s="326">
        <f>T222*係数!$I$30</f>
        <v>0</v>
      </c>
      <c r="V222" s="326">
        <f>T222*係数!$C$30*0.0000258</f>
        <v>0</v>
      </c>
      <c r="W222" s="282">
        <f t="shared" si="25"/>
        <v>0</v>
      </c>
      <c r="X222" s="337">
        <f t="shared" si="26"/>
        <v>0</v>
      </c>
      <c r="Y222" s="244">
        <f t="shared" si="27"/>
        <v>0</v>
      </c>
    </row>
    <row r="223" spans="2:25">
      <c r="B223" s="59" t="s">
        <v>502</v>
      </c>
      <c r="C223" s="10"/>
      <c r="D223" s="3"/>
      <c r="E223" s="483"/>
      <c r="F223" s="35"/>
      <c r="G223" s="35"/>
      <c r="H223" s="51" t="s">
        <v>341</v>
      </c>
      <c r="I223" s="3"/>
      <c r="J223" s="331">
        <f t="shared" si="28"/>
        <v>0</v>
      </c>
      <c r="K223" s="331">
        <f t="shared" si="22"/>
        <v>0</v>
      </c>
      <c r="L223" s="326">
        <f>K223*係数!$I$30</f>
        <v>0</v>
      </c>
      <c r="M223" s="326">
        <f>K223*係数!$C$30*0.0000258</f>
        <v>0</v>
      </c>
      <c r="N223" s="10"/>
      <c r="O223" s="3"/>
      <c r="P223" s="483"/>
      <c r="Q223" s="51" t="s">
        <v>341</v>
      </c>
      <c r="R223" s="3"/>
      <c r="S223" s="329">
        <f t="shared" si="23"/>
        <v>0</v>
      </c>
      <c r="T223" s="327">
        <f t="shared" si="24"/>
        <v>0</v>
      </c>
      <c r="U223" s="326">
        <f>T223*係数!$I$30</f>
        <v>0</v>
      </c>
      <c r="V223" s="326">
        <f>T223*係数!$C$30*0.0000258</f>
        <v>0</v>
      </c>
      <c r="W223" s="282">
        <f t="shared" si="25"/>
        <v>0</v>
      </c>
      <c r="X223" s="337">
        <f t="shared" si="26"/>
        <v>0</v>
      </c>
      <c r="Y223" s="244">
        <f t="shared" si="27"/>
        <v>0</v>
      </c>
    </row>
    <row r="224" spans="2:25">
      <c r="B224" s="59" t="s">
        <v>503</v>
      </c>
      <c r="C224" s="10"/>
      <c r="D224" s="3"/>
      <c r="E224" s="483"/>
      <c r="F224" s="35"/>
      <c r="G224" s="35"/>
      <c r="H224" s="51" t="s">
        <v>341</v>
      </c>
      <c r="I224" s="3"/>
      <c r="J224" s="331">
        <f t="shared" si="28"/>
        <v>0</v>
      </c>
      <c r="K224" s="331">
        <f t="shared" si="22"/>
        <v>0</v>
      </c>
      <c r="L224" s="326">
        <f>K224*係数!$I$30</f>
        <v>0</v>
      </c>
      <c r="M224" s="326">
        <f>K224*係数!$C$30*0.0000258</f>
        <v>0</v>
      </c>
      <c r="N224" s="10"/>
      <c r="O224" s="3"/>
      <c r="P224" s="483"/>
      <c r="Q224" s="51" t="s">
        <v>341</v>
      </c>
      <c r="R224" s="3"/>
      <c r="S224" s="329">
        <f t="shared" si="23"/>
        <v>0</v>
      </c>
      <c r="T224" s="327">
        <f t="shared" si="24"/>
        <v>0</v>
      </c>
      <c r="U224" s="326">
        <f>T224*係数!$I$30</f>
        <v>0</v>
      </c>
      <c r="V224" s="326">
        <f>T224*係数!$C$30*0.0000258</f>
        <v>0</v>
      </c>
      <c r="W224" s="282">
        <f t="shared" si="25"/>
        <v>0</v>
      </c>
      <c r="X224" s="337">
        <f t="shared" si="26"/>
        <v>0</v>
      </c>
      <c r="Y224" s="244">
        <f t="shared" si="27"/>
        <v>0</v>
      </c>
    </row>
    <row r="225" spans="2:25">
      <c r="B225" s="59" t="s">
        <v>504</v>
      </c>
      <c r="C225" s="10"/>
      <c r="D225" s="3"/>
      <c r="E225" s="483"/>
      <c r="F225" s="35"/>
      <c r="G225" s="35"/>
      <c r="H225" s="51" t="s">
        <v>341</v>
      </c>
      <c r="I225" s="3"/>
      <c r="J225" s="331">
        <f t="shared" si="28"/>
        <v>0</v>
      </c>
      <c r="K225" s="331">
        <f t="shared" si="22"/>
        <v>0</v>
      </c>
      <c r="L225" s="326">
        <f>K225*係数!$I$30</f>
        <v>0</v>
      </c>
      <c r="M225" s="326">
        <f>K225*係数!$C$30*0.0000258</f>
        <v>0</v>
      </c>
      <c r="N225" s="10"/>
      <c r="O225" s="3"/>
      <c r="P225" s="483"/>
      <c r="Q225" s="51" t="s">
        <v>341</v>
      </c>
      <c r="R225" s="3"/>
      <c r="S225" s="329">
        <f t="shared" si="23"/>
        <v>0</v>
      </c>
      <c r="T225" s="327">
        <f t="shared" si="24"/>
        <v>0</v>
      </c>
      <c r="U225" s="326">
        <f>T225*係数!$I$30</f>
        <v>0</v>
      </c>
      <c r="V225" s="326">
        <f>T225*係数!$C$30*0.0000258</f>
        <v>0</v>
      </c>
      <c r="W225" s="282">
        <f t="shared" si="25"/>
        <v>0</v>
      </c>
      <c r="X225" s="337">
        <f t="shared" si="26"/>
        <v>0</v>
      </c>
      <c r="Y225" s="244">
        <f t="shared" si="27"/>
        <v>0</v>
      </c>
    </row>
    <row r="226" spans="2:25">
      <c r="B226" s="59" t="s">
        <v>505</v>
      </c>
      <c r="C226" s="10"/>
      <c r="D226" s="3"/>
      <c r="E226" s="483"/>
      <c r="F226" s="35"/>
      <c r="G226" s="35"/>
      <c r="H226" s="51" t="s">
        <v>341</v>
      </c>
      <c r="I226" s="3"/>
      <c r="J226" s="331">
        <f t="shared" si="28"/>
        <v>0</v>
      </c>
      <c r="K226" s="331">
        <f t="shared" si="22"/>
        <v>0</v>
      </c>
      <c r="L226" s="326">
        <f>K226*係数!$I$30</f>
        <v>0</v>
      </c>
      <c r="M226" s="326">
        <f>K226*係数!$C$30*0.0000258</f>
        <v>0</v>
      </c>
      <c r="N226" s="10"/>
      <c r="O226" s="3"/>
      <c r="P226" s="483"/>
      <c r="Q226" s="51" t="s">
        <v>341</v>
      </c>
      <c r="R226" s="3"/>
      <c r="S226" s="329">
        <f t="shared" si="23"/>
        <v>0</v>
      </c>
      <c r="T226" s="327">
        <f t="shared" si="24"/>
        <v>0</v>
      </c>
      <c r="U226" s="326">
        <f>T226*係数!$I$30</f>
        <v>0</v>
      </c>
      <c r="V226" s="326">
        <f>T226*係数!$C$30*0.0000258</f>
        <v>0</v>
      </c>
      <c r="W226" s="282">
        <f t="shared" si="25"/>
        <v>0</v>
      </c>
      <c r="X226" s="337">
        <f t="shared" si="26"/>
        <v>0</v>
      </c>
      <c r="Y226" s="244">
        <f t="shared" si="27"/>
        <v>0</v>
      </c>
    </row>
    <row r="227" spans="2:25">
      <c r="B227" s="59" t="s">
        <v>506</v>
      </c>
      <c r="C227" s="10"/>
      <c r="D227" s="3"/>
      <c r="E227" s="483"/>
      <c r="F227" s="35"/>
      <c r="G227" s="35"/>
      <c r="H227" s="51" t="s">
        <v>341</v>
      </c>
      <c r="I227" s="3"/>
      <c r="J227" s="331">
        <f t="shared" si="28"/>
        <v>0</v>
      </c>
      <c r="K227" s="331">
        <f t="shared" si="22"/>
        <v>0</v>
      </c>
      <c r="L227" s="326">
        <f>K227*係数!$I$30</f>
        <v>0</v>
      </c>
      <c r="M227" s="326">
        <f>K227*係数!$C$30*0.0000258</f>
        <v>0</v>
      </c>
      <c r="N227" s="10"/>
      <c r="O227" s="3"/>
      <c r="P227" s="483"/>
      <c r="Q227" s="51" t="s">
        <v>341</v>
      </c>
      <c r="R227" s="3"/>
      <c r="S227" s="329">
        <f t="shared" si="23"/>
        <v>0</v>
      </c>
      <c r="T227" s="327">
        <f t="shared" si="24"/>
        <v>0</v>
      </c>
      <c r="U227" s="326">
        <f>T227*係数!$I$30</f>
        <v>0</v>
      </c>
      <c r="V227" s="326">
        <f>T227*係数!$C$30*0.0000258</f>
        <v>0</v>
      </c>
      <c r="W227" s="282">
        <f t="shared" si="25"/>
        <v>0</v>
      </c>
      <c r="X227" s="337">
        <f t="shared" si="26"/>
        <v>0</v>
      </c>
      <c r="Y227" s="244">
        <f t="shared" si="27"/>
        <v>0</v>
      </c>
    </row>
    <row r="228" spans="2:25">
      <c r="B228" s="59" t="s">
        <v>507</v>
      </c>
      <c r="C228" s="10"/>
      <c r="D228" s="3"/>
      <c r="E228" s="483"/>
      <c r="F228" s="35"/>
      <c r="G228" s="35"/>
      <c r="H228" s="51" t="s">
        <v>341</v>
      </c>
      <c r="I228" s="3"/>
      <c r="J228" s="331">
        <f t="shared" si="28"/>
        <v>0</v>
      </c>
      <c r="K228" s="331">
        <f t="shared" si="22"/>
        <v>0</v>
      </c>
      <c r="L228" s="326">
        <f>K228*係数!$I$30</f>
        <v>0</v>
      </c>
      <c r="M228" s="326">
        <f>K228*係数!$C$30*0.0000258</f>
        <v>0</v>
      </c>
      <c r="N228" s="10"/>
      <c r="O228" s="3"/>
      <c r="P228" s="483"/>
      <c r="Q228" s="51" t="s">
        <v>341</v>
      </c>
      <c r="R228" s="3"/>
      <c r="S228" s="329">
        <f t="shared" si="23"/>
        <v>0</v>
      </c>
      <c r="T228" s="327">
        <f t="shared" si="24"/>
        <v>0</v>
      </c>
      <c r="U228" s="326">
        <f>T228*係数!$I$30</f>
        <v>0</v>
      </c>
      <c r="V228" s="326">
        <f>T228*係数!$C$30*0.0000258</f>
        <v>0</v>
      </c>
      <c r="W228" s="282">
        <f t="shared" si="25"/>
        <v>0</v>
      </c>
      <c r="X228" s="337">
        <f t="shared" si="26"/>
        <v>0</v>
      </c>
      <c r="Y228" s="244">
        <f t="shared" si="27"/>
        <v>0</v>
      </c>
    </row>
    <row r="229" spans="2:25">
      <c r="B229" s="59" t="s">
        <v>508</v>
      </c>
      <c r="C229" s="10"/>
      <c r="D229" s="3"/>
      <c r="E229" s="483"/>
      <c r="F229" s="35"/>
      <c r="G229" s="35"/>
      <c r="H229" s="51" t="s">
        <v>341</v>
      </c>
      <c r="I229" s="3"/>
      <c r="J229" s="331">
        <f t="shared" si="28"/>
        <v>0</v>
      </c>
      <c r="K229" s="331">
        <f t="shared" si="22"/>
        <v>0</v>
      </c>
      <c r="L229" s="326">
        <f>K229*係数!$I$30</f>
        <v>0</v>
      </c>
      <c r="M229" s="326">
        <f>K229*係数!$C$30*0.0000258</f>
        <v>0</v>
      </c>
      <c r="N229" s="10"/>
      <c r="O229" s="3"/>
      <c r="P229" s="483"/>
      <c r="Q229" s="51" t="s">
        <v>341</v>
      </c>
      <c r="R229" s="3"/>
      <c r="S229" s="329">
        <f t="shared" si="23"/>
        <v>0</v>
      </c>
      <c r="T229" s="327">
        <f t="shared" si="24"/>
        <v>0</v>
      </c>
      <c r="U229" s="326">
        <f>T229*係数!$I$30</f>
        <v>0</v>
      </c>
      <c r="V229" s="326">
        <f>T229*係数!$C$30*0.0000258</f>
        <v>0</v>
      </c>
      <c r="W229" s="282">
        <f t="shared" si="25"/>
        <v>0</v>
      </c>
      <c r="X229" s="337">
        <f t="shared" si="26"/>
        <v>0</v>
      </c>
      <c r="Y229" s="244">
        <f t="shared" si="27"/>
        <v>0</v>
      </c>
    </row>
    <row r="230" spans="2:25">
      <c r="B230" s="59" t="s">
        <v>509</v>
      </c>
      <c r="C230" s="10"/>
      <c r="D230" s="3"/>
      <c r="E230" s="483"/>
      <c r="F230" s="35"/>
      <c r="G230" s="35"/>
      <c r="H230" s="51" t="s">
        <v>341</v>
      </c>
      <c r="I230" s="3"/>
      <c r="J230" s="331">
        <f t="shared" si="28"/>
        <v>0</v>
      </c>
      <c r="K230" s="331">
        <f t="shared" si="22"/>
        <v>0</v>
      </c>
      <c r="L230" s="326">
        <f>K230*係数!$I$30</f>
        <v>0</v>
      </c>
      <c r="M230" s="326">
        <f>K230*係数!$C$30*0.0000258</f>
        <v>0</v>
      </c>
      <c r="N230" s="10"/>
      <c r="O230" s="3"/>
      <c r="P230" s="483"/>
      <c r="Q230" s="51" t="s">
        <v>341</v>
      </c>
      <c r="R230" s="3"/>
      <c r="S230" s="329">
        <f t="shared" si="23"/>
        <v>0</v>
      </c>
      <c r="T230" s="327">
        <f t="shared" si="24"/>
        <v>0</v>
      </c>
      <c r="U230" s="326">
        <f>T230*係数!$I$30</f>
        <v>0</v>
      </c>
      <c r="V230" s="326">
        <f>T230*係数!$C$30*0.0000258</f>
        <v>0</v>
      </c>
      <c r="W230" s="282">
        <f t="shared" si="25"/>
        <v>0</v>
      </c>
      <c r="X230" s="337">
        <f t="shared" si="26"/>
        <v>0</v>
      </c>
      <c r="Y230" s="244">
        <f t="shared" si="27"/>
        <v>0</v>
      </c>
    </row>
    <row r="231" spans="2:25">
      <c r="B231" s="59" t="s">
        <v>510</v>
      </c>
      <c r="C231" s="10"/>
      <c r="D231" s="3"/>
      <c r="E231" s="483"/>
      <c r="F231" s="35"/>
      <c r="G231" s="35"/>
      <c r="H231" s="51" t="s">
        <v>341</v>
      </c>
      <c r="I231" s="3"/>
      <c r="J231" s="331">
        <f t="shared" si="28"/>
        <v>0</v>
      </c>
      <c r="K231" s="331">
        <f t="shared" si="22"/>
        <v>0</v>
      </c>
      <c r="L231" s="326">
        <f>K231*係数!$I$30</f>
        <v>0</v>
      </c>
      <c r="M231" s="326">
        <f>K231*係数!$C$30*0.0000258</f>
        <v>0</v>
      </c>
      <c r="N231" s="10"/>
      <c r="O231" s="3"/>
      <c r="P231" s="483"/>
      <c r="Q231" s="51" t="s">
        <v>341</v>
      </c>
      <c r="R231" s="3"/>
      <c r="S231" s="329">
        <f t="shared" si="23"/>
        <v>0</v>
      </c>
      <c r="T231" s="327">
        <f t="shared" si="24"/>
        <v>0</v>
      </c>
      <c r="U231" s="326">
        <f>T231*係数!$I$30</f>
        <v>0</v>
      </c>
      <c r="V231" s="326">
        <f>T231*係数!$C$30*0.0000258</f>
        <v>0</v>
      </c>
      <c r="W231" s="282">
        <f t="shared" si="25"/>
        <v>0</v>
      </c>
      <c r="X231" s="337">
        <f t="shared" si="26"/>
        <v>0</v>
      </c>
      <c r="Y231" s="244">
        <f t="shared" si="27"/>
        <v>0</v>
      </c>
    </row>
    <row r="232" spans="2:25">
      <c r="B232" s="59" t="s">
        <v>511</v>
      </c>
      <c r="C232" s="10"/>
      <c r="D232" s="3"/>
      <c r="E232" s="483"/>
      <c r="F232" s="35"/>
      <c r="G232" s="35"/>
      <c r="H232" s="51" t="s">
        <v>341</v>
      </c>
      <c r="I232" s="3"/>
      <c r="J232" s="331">
        <f t="shared" si="28"/>
        <v>0</v>
      </c>
      <c r="K232" s="331">
        <f t="shared" si="22"/>
        <v>0</v>
      </c>
      <c r="L232" s="326">
        <f>K232*係数!$I$30</f>
        <v>0</v>
      </c>
      <c r="M232" s="326">
        <f>K232*係数!$C$30*0.0000258</f>
        <v>0</v>
      </c>
      <c r="N232" s="10"/>
      <c r="O232" s="3"/>
      <c r="P232" s="483"/>
      <c r="Q232" s="51" t="s">
        <v>341</v>
      </c>
      <c r="R232" s="3"/>
      <c r="S232" s="329">
        <f t="shared" si="23"/>
        <v>0</v>
      </c>
      <c r="T232" s="327">
        <f t="shared" si="24"/>
        <v>0</v>
      </c>
      <c r="U232" s="326">
        <f>T232*係数!$I$30</f>
        <v>0</v>
      </c>
      <c r="V232" s="326">
        <f>T232*係数!$C$30*0.0000258</f>
        <v>0</v>
      </c>
      <c r="W232" s="282">
        <f t="shared" si="25"/>
        <v>0</v>
      </c>
      <c r="X232" s="337">
        <f t="shared" si="26"/>
        <v>0</v>
      </c>
      <c r="Y232" s="244">
        <f t="shared" si="27"/>
        <v>0</v>
      </c>
    </row>
    <row r="233" spans="2:25">
      <c r="B233" s="59" t="s">
        <v>512</v>
      </c>
      <c r="C233" s="10"/>
      <c r="D233" s="3"/>
      <c r="E233" s="483"/>
      <c r="F233" s="35"/>
      <c r="G233" s="35"/>
      <c r="H233" s="51" t="s">
        <v>341</v>
      </c>
      <c r="I233" s="3"/>
      <c r="J233" s="331">
        <f t="shared" si="28"/>
        <v>0</v>
      </c>
      <c r="K233" s="331">
        <f t="shared" si="22"/>
        <v>0</v>
      </c>
      <c r="L233" s="326">
        <f>K233*係数!$I$30</f>
        <v>0</v>
      </c>
      <c r="M233" s="326">
        <f>K233*係数!$C$30*0.0000258</f>
        <v>0</v>
      </c>
      <c r="N233" s="10"/>
      <c r="O233" s="3"/>
      <c r="P233" s="483"/>
      <c r="Q233" s="51" t="s">
        <v>341</v>
      </c>
      <c r="R233" s="3"/>
      <c r="S233" s="329">
        <f t="shared" si="23"/>
        <v>0</v>
      </c>
      <c r="T233" s="327">
        <f t="shared" si="24"/>
        <v>0</v>
      </c>
      <c r="U233" s="326">
        <f>T233*係数!$I$30</f>
        <v>0</v>
      </c>
      <c r="V233" s="326">
        <f>T233*係数!$C$30*0.0000258</f>
        <v>0</v>
      </c>
      <c r="W233" s="282">
        <f t="shared" si="25"/>
        <v>0</v>
      </c>
      <c r="X233" s="337">
        <f t="shared" si="26"/>
        <v>0</v>
      </c>
      <c r="Y233" s="244">
        <f t="shared" si="27"/>
        <v>0</v>
      </c>
    </row>
    <row r="234" spans="2:25">
      <c r="B234" s="59" t="s">
        <v>513</v>
      </c>
      <c r="C234" s="10"/>
      <c r="D234" s="3"/>
      <c r="E234" s="483"/>
      <c r="F234" s="35"/>
      <c r="G234" s="35"/>
      <c r="H234" s="51" t="s">
        <v>341</v>
      </c>
      <c r="I234" s="3"/>
      <c r="J234" s="331">
        <f t="shared" si="28"/>
        <v>0</v>
      </c>
      <c r="K234" s="331">
        <f t="shared" si="22"/>
        <v>0</v>
      </c>
      <c r="L234" s="326">
        <f>K234*係数!$I$30</f>
        <v>0</v>
      </c>
      <c r="M234" s="326">
        <f>K234*係数!$C$30*0.0000258</f>
        <v>0</v>
      </c>
      <c r="N234" s="10"/>
      <c r="O234" s="3"/>
      <c r="P234" s="483"/>
      <c r="Q234" s="51" t="s">
        <v>341</v>
      </c>
      <c r="R234" s="3"/>
      <c r="S234" s="329">
        <f t="shared" si="23"/>
        <v>0</v>
      </c>
      <c r="T234" s="327">
        <f t="shared" si="24"/>
        <v>0</v>
      </c>
      <c r="U234" s="326">
        <f>T234*係数!$I$30</f>
        <v>0</v>
      </c>
      <c r="V234" s="326">
        <f>T234*係数!$C$30*0.0000258</f>
        <v>0</v>
      </c>
      <c r="W234" s="282">
        <f t="shared" si="25"/>
        <v>0</v>
      </c>
      <c r="X234" s="337">
        <f t="shared" si="26"/>
        <v>0</v>
      </c>
      <c r="Y234" s="244">
        <f t="shared" si="27"/>
        <v>0</v>
      </c>
    </row>
    <row r="235" spans="2:25">
      <c r="B235" s="59" t="s">
        <v>514</v>
      </c>
      <c r="C235" s="10"/>
      <c r="D235" s="3"/>
      <c r="E235" s="483"/>
      <c r="F235" s="35"/>
      <c r="G235" s="35"/>
      <c r="H235" s="51" t="s">
        <v>341</v>
      </c>
      <c r="I235" s="3"/>
      <c r="J235" s="331">
        <f t="shared" si="28"/>
        <v>0</v>
      </c>
      <c r="K235" s="331">
        <f t="shared" si="22"/>
        <v>0</v>
      </c>
      <c r="L235" s="326">
        <f>K235*係数!$I$30</f>
        <v>0</v>
      </c>
      <c r="M235" s="326">
        <f>K235*係数!$C$30*0.0000258</f>
        <v>0</v>
      </c>
      <c r="N235" s="10"/>
      <c r="O235" s="3"/>
      <c r="P235" s="483"/>
      <c r="Q235" s="51" t="s">
        <v>341</v>
      </c>
      <c r="R235" s="3"/>
      <c r="S235" s="329">
        <f t="shared" si="23"/>
        <v>0</v>
      </c>
      <c r="T235" s="327">
        <f t="shared" si="24"/>
        <v>0</v>
      </c>
      <c r="U235" s="326">
        <f>T235*係数!$I$30</f>
        <v>0</v>
      </c>
      <c r="V235" s="326">
        <f>T235*係数!$C$30*0.0000258</f>
        <v>0</v>
      </c>
      <c r="W235" s="282">
        <f t="shared" si="25"/>
        <v>0</v>
      </c>
      <c r="X235" s="337">
        <f t="shared" si="26"/>
        <v>0</v>
      </c>
      <c r="Y235" s="244">
        <f t="shared" si="27"/>
        <v>0</v>
      </c>
    </row>
    <row r="236" spans="2:25">
      <c r="B236" s="59" t="s">
        <v>515</v>
      </c>
      <c r="C236" s="10"/>
      <c r="D236" s="3"/>
      <c r="E236" s="483"/>
      <c r="F236" s="35"/>
      <c r="G236" s="35"/>
      <c r="H236" s="51" t="s">
        <v>341</v>
      </c>
      <c r="I236" s="3"/>
      <c r="J236" s="331">
        <f t="shared" si="28"/>
        <v>0</v>
      </c>
      <c r="K236" s="331">
        <f t="shared" si="22"/>
        <v>0</v>
      </c>
      <c r="L236" s="326">
        <f>K236*係数!$I$30</f>
        <v>0</v>
      </c>
      <c r="M236" s="326">
        <f>K236*係数!$C$30*0.0000258</f>
        <v>0</v>
      </c>
      <c r="N236" s="10"/>
      <c r="O236" s="3"/>
      <c r="P236" s="483"/>
      <c r="Q236" s="51" t="s">
        <v>341</v>
      </c>
      <c r="R236" s="3"/>
      <c r="S236" s="329">
        <f t="shared" si="23"/>
        <v>0</v>
      </c>
      <c r="T236" s="327">
        <f t="shared" si="24"/>
        <v>0</v>
      </c>
      <c r="U236" s="326">
        <f>T236*係数!$I$30</f>
        <v>0</v>
      </c>
      <c r="V236" s="326">
        <f>T236*係数!$C$30*0.0000258</f>
        <v>0</v>
      </c>
      <c r="W236" s="282">
        <f t="shared" si="25"/>
        <v>0</v>
      </c>
      <c r="X236" s="337">
        <f t="shared" si="26"/>
        <v>0</v>
      </c>
      <c r="Y236" s="244">
        <f t="shared" si="27"/>
        <v>0</v>
      </c>
    </row>
    <row r="237" spans="2:25">
      <c r="B237" s="59" t="s">
        <v>516</v>
      </c>
      <c r="C237" s="10"/>
      <c r="D237" s="3"/>
      <c r="E237" s="483"/>
      <c r="F237" s="35"/>
      <c r="G237" s="35"/>
      <c r="H237" s="51" t="s">
        <v>341</v>
      </c>
      <c r="I237" s="3"/>
      <c r="J237" s="331">
        <f t="shared" si="28"/>
        <v>0</v>
      </c>
      <c r="K237" s="331">
        <f t="shared" si="22"/>
        <v>0</v>
      </c>
      <c r="L237" s="326">
        <f>K237*係数!$I$30</f>
        <v>0</v>
      </c>
      <c r="M237" s="326">
        <f>K237*係数!$C$30*0.0000258</f>
        <v>0</v>
      </c>
      <c r="N237" s="10"/>
      <c r="O237" s="3"/>
      <c r="P237" s="483"/>
      <c r="Q237" s="51" t="s">
        <v>341</v>
      </c>
      <c r="R237" s="3"/>
      <c r="S237" s="329">
        <f t="shared" si="23"/>
        <v>0</v>
      </c>
      <c r="T237" s="327">
        <f t="shared" si="24"/>
        <v>0</v>
      </c>
      <c r="U237" s="326">
        <f>T237*係数!$I$30</f>
        <v>0</v>
      </c>
      <c r="V237" s="326">
        <f>T237*係数!$C$30*0.0000258</f>
        <v>0</v>
      </c>
      <c r="W237" s="282">
        <f t="shared" si="25"/>
        <v>0</v>
      </c>
      <c r="X237" s="337">
        <f t="shared" si="26"/>
        <v>0</v>
      </c>
      <c r="Y237" s="244">
        <f t="shared" si="27"/>
        <v>0</v>
      </c>
    </row>
    <row r="238" spans="2:25">
      <c r="B238" s="59" t="s">
        <v>517</v>
      </c>
      <c r="C238" s="10"/>
      <c r="D238" s="3"/>
      <c r="E238" s="483"/>
      <c r="F238" s="35"/>
      <c r="G238" s="35"/>
      <c r="H238" s="51" t="s">
        <v>341</v>
      </c>
      <c r="I238" s="3"/>
      <c r="J238" s="331">
        <f t="shared" si="28"/>
        <v>0</v>
      </c>
      <c r="K238" s="331">
        <f t="shared" si="22"/>
        <v>0</v>
      </c>
      <c r="L238" s="326">
        <f>K238*係数!$I$30</f>
        <v>0</v>
      </c>
      <c r="M238" s="326">
        <f>K238*係数!$C$30*0.0000258</f>
        <v>0</v>
      </c>
      <c r="N238" s="10"/>
      <c r="O238" s="3"/>
      <c r="P238" s="483"/>
      <c r="Q238" s="51" t="s">
        <v>341</v>
      </c>
      <c r="R238" s="3"/>
      <c r="S238" s="329">
        <f t="shared" si="23"/>
        <v>0</v>
      </c>
      <c r="T238" s="327">
        <f t="shared" si="24"/>
        <v>0</v>
      </c>
      <c r="U238" s="326">
        <f>T238*係数!$I$30</f>
        <v>0</v>
      </c>
      <c r="V238" s="326">
        <f>T238*係数!$C$30*0.0000258</f>
        <v>0</v>
      </c>
      <c r="W238" s="282">
        <f t="shared" si="25"/>
        <v>0</v>
      </c>
      <c r="X238" s="337">
        <f t="shared" si="26"/>
        <v>0</v>
      </c>
      <c r="Y238" s="244">
        <f t="shared" si="27"/>
        <v>0</v>
      </c>
    </row>
    <row r="239" spans="2:25">
      <c r="B239" s="59" t="s">
        <v>518</v>
      </c>
      <c r="C239" s="10"/>
      <c r="D239" s="3"/>
      <c r="E239" s="483"/>
      <c r="F239" s="35"/>
      <c r="G239" s="35"/>
      <c r="H239" s="51" t="s">
        <v>341</v>
      </c>
      <c r="I239" s="3"/>
      <c r="J239" s="331">
        <f t="shared" si="28"/>
        <v>0</v>
      </c>
      <c r="K239" s="331">
        <f t="shared" si="22"/>
        <v>0</v>
      </c>
      <c r="L239" s="326">
        <f>K239*係数!$I$30</f>
        <v>0</v>
      </c>
      <c r="M239" s="326">
        <f>K239*係数!$C$30*0.0000258</f>
        <v>0</v>
      </c>
      <c r="N239" s="10"/>
      <c r="O239" s="3"/>
      <c r="P239" s="483"/>
      <c r="Q239" s="51" t="s">
        <v>341</v>
      </c>
      <c r="R239" s="3"/>
      <c r="S239" s="329">
        <f t="shared" si="23"/>
        <v>0</v>
      </c>
      <c r="T239" s="327">
        <f t="shared" si="24"/>
        <v>0</v>
      </c>
      <c r="U239" s="326">
        <f>T239*係数!$I$30</f>
        <v>0</v>
      </c>
      <c r="V239" s="326">
        <f>T239*係数!$C$30*0.0000258</f>
        <v>0</v>
      </c>
      <c r="W239" s="282">
        <f t="shared" si="25"/>
        <v>0</v>
      </c>
      <c r="X239" s="337">
        <f t="shared" si="26"/>
        <v>0</v>
      </c>
      <c r="Y239" s="244">
        <f t="shared" si="27"/>
        <v>0</v>
      </c>
    </row>
    <row r="240" spans="2:25">
      <c r="B240" s="59" t="s">
        <v>519</v>
      </c>
      <c r="C240" s="10"/>
      <c r="D240" s="3"/>
      <c r="E240" s="483"/>
      <c r="F240" s="35"/>
      <c r="G240" s="35"/>
      <c r="H240" s="51" t="s">
        <v>341</v>
      </c>
      <c r="I240" s="3"/>
      <c r="J240" s="331">
        <f t="shared" si="28"/>
        <v>0</v>
      </c>
      <c r="K240" s="331">
        <f t="shared" si="22"/>
        <v>0</v>
      </c>
      <c r="L240" s="326">
        <f>K240*係数!$I$30</f>
        <v>0</v>
      </c>
      <c r="M240" s="326">
        <f>K240*係数!$C$30*0.0000258</f>
        <v>0</v>
      </c>
      <c r="N240" s="10"/>
      <c r="O240" s="3"/>
      <c r="P240" s="483"/>
      <c r="Q240" s="51" t="s">
        <v>341</v>
      </c>
      <c r="R240" s="3"/>
      <c r="S240" s="329">
        <f t="shared" si="23"/>
        <v>0</v>
      </c>
      <c r="T240" s="327">
        <f t="shared" si="24"/>
        <v>0</v>
      </c>
      <c r="U240" s="326">
        <f>T240*係数!$I$30</f>
        <v>0</v>
      </c>
      <c r="V240" s="326">
        <f>T240*係数!$C$30*0.0000258</f>
        <v>0</v>
      </c>
      <c r="W240" s="282">
        <f t="shared" si="25"/>
        <v>0</v>
      </c>
      <c r="X240" s="337">
        <f t="shared" si="26"/>
        <v>0</v>
      </c>
      <c r="Y240" s="244">
        <f t="shared" si="27"/>
        <v>0</v>
      </c>
    </row>
    <row r="241" spans="2:25">
      <c r="B241" s="59" t="s">
        <v>520</v>
      </c>
      <c r="C241" s="10"/>
      <c r="D241" s="3"/>
      <c r="E241" s="483"/>
      <c r="F241" s="35"/>
      <c r="G241" s="35"/>
      <c r="H241" s="51" t="s">
        <v>341</v>
      </c>
      <c r="I241" s="3"/>
      <c r="J241" s="331">
        <f t="shared" si="28"/>
        <v>0</v>
      </c>
      <c r="K241" s="331">
        <f t="shared" si="22"/>
        <v>0</v>
      </c>
      <c r="L241" s="326">
        <f>K241*係数!$I$30</f>
        <v>0</v>
      </c>
      <c r="M241" s="326">
        <f>K241*係数!$C$30*0.0000258</f>
        <v>0</v>
      </c>
      <c r="N241" s="10"/>
      <c r="O241" s="3"/>
      <c r="P241" s="483"/>
      <c r="Q241" s="51" t="s">
        <v>341</v>
      </c>
      <c r="R241" s="3"/>
      <c r="S241" s="329">
        <f t="shared" si="23"/>
        <v>0</v>
      </c>
      <c r="T241" s="327">
        <f t="shared" si="24"/>
        <v>0</v>
      </c>
      <c r="U241" s="326">
        <f>T241*係数!$I$30</f>
        <v>0</v>
      </c>
      <c r="V241" s="326">
        <f>T241*係数!$C$30*0.0000258</f>
        <v>0</v>
      </c>
      <c r="W241" s="282">
        <f t="shared" si="25"/>
        <v>0</v>
      </c>
      <c r="X241" s="337">
        <f t="shared" si="26"/>
        <v>0</v>
      </c>
      <c r="Y241" s="244">
        <f t="shared" si="27"/>
        <v>0</v>
      </c>
    </row>
    <row r="242" spans="2:25">
      <c r="B242" s="59" t="s">
        <v>521</v>
      </c>
      <c r="C242" s="10"/>
      <c r="D242" s="3"/>
      <c r="E242" s="483"/>
      <c r="F242" s="35"/>
      <c r="G242" s="35"/>
      <c r="H242" s="51" t="s">
        <v>341</v>
      </c>
      <c r="I242" s="3"/>
      <c r="J242" s="331">
        <f t="shared" si="28"/>
        <v>0</v>
      </c>
      <c r="K242" s="331">
        <f t="shared" si="22"/>
        <v>0</v>
      </c>
      <c r="L242" s="326">
        <f>K242*係数!$I$30</f>
        <v>0</v>
      </c>
      <c r="M242" s="326">
        <f>K242*係数!$C$30*0.0000258</f>
        <v>0</v>
      </c>
      <c r="N242" s="10"/>
      <c r="O242" s="3"/>
      <c r="P242" s="483"/>
      <c r="Q242" s="51" t="s">
        <v>341</v>
      </c>
      <c r="R242" s="3"/>
      <c r="S242" s="329">
        <f t="shared" si="23"/>
        <v>0</v>
      </c>
      <c r="T242" s="327">
        <f t="shared" si="24"/>
        <v>0</v>
      </c>
      <c r="U242" s="326">
        <f>T242*係数!$I$30</f>
        <v>0</v>
      </c>
      <c r="V242" s="326">
        <f>T242*係数!$C$30*0.0000258</f>
        <v>0</v>
      </c>
      <c r="W242" s="282">
        <f t="shared" si="25"/>
        <v>0</v>
      </c>
      <c r="X242" s="337">
        <f t="shared" si="26"/>
        <v>0</v>
      </c>
      <c r="Y242" s="244">
        <f t="shared" si="27"/>
        <v>0</v>
      </c>
    </row>
    <row r="243" spans="2:25">
      <c r="B243" s="59" t="s">
        <v>522</v>
      </c>
      <c r="C243" s="10"/>
      <c r="D243" s="3"/>
      <c r="E243" s="483"/>
      <c r="F243" s="35"/>
      <c r="G243" s="35"/>
      <c r="H243" s="51" t="s">
        <v>341</v>
      </c>
      <c r="I243" s="3"/>
      <c r="J243" s="331">
        <f t="shared" si="28"/>
        <v>0</v>
      </c>
      <c r="K243" s="331">
        <f t="shared" si="22"/>
        <v>0</v>
      </c>
      <c r="L243" s="326">
        <f>K243*係数!$I$30</f>
        <v>0</v>
      </c>
      <c r="M243" s="326">
        <f>K243*係数!$C$30*0.0000258</f>
        <v>0</v>
      </c>
      <c r="N243" s="10"/>
      <c r="O243" s="3"/>
      <c r="P243" s="483"/>
      <c r="Q243" s="51" t="s">
        <v>341</v>
      </c>
      <c r="R243" s="3"/>
      <c r="S243" s="329">
        <f t="shared" si="23"/>
        <v>0</v>
      </c>
      <c r="T243" s="327">
        <f t="shared" si="24"/>
        <v>0</v>
      </c>
      <c r="U243" s="326">
        <f>T243*係数!$I$30</f>
        <v>0</v>
      </c>
      <c r="V243" s="326">
        <f>T243*係数!$C$30*0.0000258</f>
        <v>0</v>
      </c>
      <c r="W243" s="282">
        <f t="shared" si="25"/>
        <v>0</v>
      </c>
      <c r="X243" s="337">
        <f t="shared" si="26"/>
        <v>0</v>
      </c>
      <c r="Y243" s="244">
        <f t="shared" si="27"/>
        <v>0</v>
      </c>
    </row>
    <row r="244" spans="2:25">
      <c r="B244" s="59" t="s">
        <v>523</v>
      </c>
      <c r="C244" s="10"/>
      <c r="D244" s="3"/>
      <c r="E244" s="483"/>
      <c r="F244" s="35"/>
      <c r="G244" s="35"/>
      <c r="H244" s="51" t="s">
        <v>341</v>
      </c>
      <c r="I244" s="3"/>
      <c r="J244" s="331">
        <f t="shared" si="28"/>
        <v>0</v>
      </c>
      <c r="K244" s="331">
        <f t="shared" si="22"/>
        <v>0</v>
      </c>
      <c r="L244" s="326">
        <f>K244*係数!$I$30</f>
        <v>0</v>
      </c>
      <c r="M244" s="326">
        <f>K244*係数!$C$30*0.0000258</f>
        <v>0</v>
      </c>
      <c r="N244" s="10"/>
      <c r="O244" s="3"/>
      <c r="P244" s="483"/>
      <c r="Q244" s="51" t="s">
        <v>341</v>
      </c>
      <c r="R244" s="3"/>
      <c r="S244" s="329">
        <f t="shared" si="23"/>
        <v>0</v>
      </c>
      <c r="T244" s="327">
        <f t="shared" si="24"/>
        <v>0</v>
      </c>
      <c r="U244" s="326">
        <f>T244*係数!$I$30</f>
        <v>0</v>
      </c>
      <c r="V244" s="326">
        <f>T244*係数!$C$30*0.0000258</f>
        <v>0</v>
      </c>
      <c r="W244" s="282">
        <f t="shared" si="25"/>
        <v>0</v>
      </c>
      <c r="X244" s="337">
        <f t="shared" si="26"/>
        <v>0</v>
      </c>
      <c r="Y244" s="244">
        <f t="shared" si="27"/>
        <v>0</v>
      </c>
    </row>
    <row r="245" spans="2:25">
      <c r="B245" s="59" t="s">
        <v>524</v>
      </c>
      <c r="C245" s="10"/>
      <c r="D245" s="3"/>
      <c r="E245" s="483"/>
      <c r="F245" s="35"/>
      <c r="G245" s="35"/>
      <c r="H245" s="51" t="s">
        <v>341</v>
      </c>
      <c r="I245" s="3"/>
      <c r="J245" s="331">
        <f t="shared" si="28"/>
        <v>0</v>
      </c>
      <c r="K245" s="331">
        <f t="shared" si="22"/>
        <v>0</v>
      </c>
      <c r="L245" s="326">
        <f>K245*係数!$I$30</f>
        <v>0</v>
      </c>
      <c r="M245" s="326">
        <f>K245*係数!$C$30*0.0000258</f>
        <v>0</v>
      </c>
      <c r="N245" s="10"/>
      <c r="O245" s="3"/>
      <c r="P245" s="483"/>
      <c r="Q245" s="51" t="s">
        <v>341</v>
      </c>
      <c r="R245" s="3"/>
      <c r="S245" s="329">
        <f t="shared" si="23"/>
        <v>0</v>
      </c>
      <c r="T245" s="327">
        <f t="shared" si="24"/>
        <v>0</v>
      </c>
      <c r="U245" s="326">
        <f>T245*係数!$I$30</f>
        <v>0</v>
      </c>
      <c r="V245" s="326">
        <f>T245*係数!$C$30*0.0000258</f>
        <v>0</v>
      </c>
      <c r="W245" s="282">
        <f t="shared" si="25"/>
        <v>0</v>
      </c>
      <c r="X245" s="337">
        <f t="shared" si="26"/>
        <v>0</v>
      </c>
      <c r="Y245" s="244">
        <f t="shared" si="27"/>
        <v>0</v>
      </c>
    </row>
    <row r="246" spans="2:25">
      <c r="B246" s="59" t="s">
        <v>525</v>
      </c>
      <c r="C246" s="10"/>
      <c r="D246" s="3"/>
      <c r="E246" s="483"/>
      <c r="F246" s="35"/>
      <c r="G246" s="35"/>
      <c r="H246" s="51" t="s">
        <v>341</v>
      </c>
      <c r="I246" s="3"/>
      <c r="J246" s="331">
        <f t="shared" si="28"/>
        <v>0</v>
      </c>
      <c r="K246" s="331">
        <f t="shared" si="22"/>
        <v>0</v>
      </c>
      <c r="L246" s="326">
        <f>K246*係数!$I$30</f>
        <v>0</v>
      </c>
      <c r="M246" s="326">
        <f>K246*係数!$C$30*0.0000258</f>
        <v>0</v>
      </c>
      <c r="N246" s="10"/>
      <c r="O246" s="3"/>
      <c r="P246" s="483"/>
      <c r="Q246" s="51" t="s">
        <v>341</v>
      </c>
      <c r="R246" s="3"/>
      <c r="S246" s="329">
        <f t="shared" si="23"/>
        <v>0</v>
      </c>
      <c r="T246" s="327">
        <f t="shared" si="24"/>
        <v>0</v>
      </c>
      <c r="U246" s="326">
        <f>T246*係数!$I$30</f>
        <v>0</v>
      </c>
      <c r="V246" s="326">
        <f>T246*係数!$C$30*0.0000258</f>
        <v>0</v>
      </c>
      <c r="W246" s="282">
        <f t="shared" si="25"/>
        <v>0</v>
      </c>
      <c r="X246" s="337">
        <f t="shared" si="26"/>
        <v>0</v>
      </c>
      <c r="Y246" s="244">
        <f t="shared" si="27"/>
        <v>0</v>
      </c>
    </row>
    <row r="247" spans="2:25">
      <c r="B247" s="59" t="s">
        <v>526</v>
      </c>
      <c r="C247" s="10"/>
      <c r="D247" s="3"/>
      <c r="E247" s="483"/>
      <c r="F247" s="35"/>
      <c r="G247" s="35"/>
      <c r="H247" s="51" t="s">
        <v>341</v>
      </c>
      <c r="I247" s="3"/>
      <c r="J247" s="331">
        <f t="shared" si="28"/>
        <v>0</v>
      </c>
      <c r="K247" s="331">
        <f t="shared" si="22"/>
        <v>0</v>
      </c>
      <c r="L247" s="326">
        <f>K247*係数!$I$30</f>
        <v>0</v>
      </c>
      <c r="M247" s="326">
        <f>K247*係数!$C$30*0.0000258</f>
        <v>0</v>
      </c>
      <c r="N247" s="10"/>
      <c r="O247" s="3"/>
      <c r="P247" s="483"/>
      <c r="Q247" s="51" t="s">
        <v>341</v>
      </c>
      <c r="R247" s="3"/>
      <c r="S247" s="329">
        <f t="shared" si="23"/>
        <v>0</v>
      </c>
      <c r="T247" s="327">
        <f t="shared" si="24"/>
        <v>0</v>
      </c>
      <c r="U247" s="326">
        <f>T247*係数!$I$30</f>
        <v>0</v>
      </c>
      <c r="V247" s="326">
        <f>T247*係数!$C$30*0.0000258</f>
        <v>0</v>
      </c>
      <c r="W247" s="282">
        <f t="shared" si="25"/>
        <v>0</v>
      </c>
      <c r="X247" s="337">
        <f t="shared" si="26"/>
        <v>0</v>
      </c>
      <c r="Y247" s="244">
        <f t="shared" si="27"/>
        <v>0</v>
      </c>
    </row>
    <row r="248" spans="2:25">
      <c r="B248" s="59" t="s">
        <v>527</v>
      </c>
      <c r="C248" s="10"/>
      <c r="D248" s="3"/>
      <c r="E248" s="483"/>
      <c r="F248" s="35"/>
      <c r="G248" s="35"/>
      <c r="H248" s="51" t="s">
        <v>341</v>
      </c>
      <c r="I248" s="3"/>
      <c r="J248" s="331">
        <f t="shared" si="28"/>
        <v>0</v>
      </c>
      <c r="K248" s="331">
        <f t="shared" si="22"/>
        <v>0</v>
      </c>
      <c r="L248" s="326">
        <f>K248*係数!$I$30</f>
        <v>0</v>
      </c>
      <c r="M248" s="326">
        <f>K248*係数!$C$30*0.0000258</f>
        <v>0</v>
      </c>
      <c r="N248" s="10"/>
      <c r="O248" s="3"/>
      <c r="P248" s="483"/>
      <c r="Q248" s="51" t="s">
        <v>341</v>
      </c>
      <c r="R248" s="3"/>
      <c r="S248" s="329">
        <f t="shared" si="23"/>
        <v>0</v>
      </c>
      <c r="T248" s="327">
        <f t="shared" si="24"/>
        <v>0</v>
      </c>
      <c r="U248" s="326">
        <f>T248*係数!$I$30</f>
        <v>0</v>
      </c>
      <c r="V248" s="326">
        <f>T248*係数!$C$30*0.0000258</f>
        <v>0</v>
      </c>
      <c r="W248" s="282">
        <f t="shared" si="25"/>
        <v>0</v>
      </c>
      <c r="X248" s="337">
        <f t="shared" si="26"/>
        <v>0</v>
      </c>
      <c r="Y248" s="244">
        <f t="shared" si="27"/>
        <v>0</v>
      </c>
    </row>
    <row r="249" spans="2:25">
      <c r="B249" s="59" t="s">
        <v>528</v>
      </c>
      <c r="C249" s="10"/>
      <c r="D249" s="3"/>
      <c r="E249" s="483"/>
      <c r="F249" s="35"/>
      <c r="G249" s="35"/>
      <c r="H249" s="51" t="s">
        <v>341</v>
      </c>
      <c r="I249" s="3"/>
      <c r="J249" s="331">
        <f t="shared" si="28"/>
        <v>0</v>
      </c>
      <c r="K249" s="331">
        <f t="shared" si="22"/>
        <v>0</v>
      </c>
      <c r="L249" s="326">
        <f>K249*係数!$I$30</f>
        <v>0</v>
      </c>
      <c r="M249" s="326">
        <f>K249*係数!$C$30*0.0000258</f>
        <v>0</v>
      </c>
      <c r="N249" s="10"/>
      <c r="O249" s="3"/>
      <c r="P249" s="483"/>
      <c r="Q249" s="51" t="s">
        <v>341</v>
      </c>
      <c r="R249" s="3"/>
      <c r="S249" s="329">
        <f t="shared" si="23"/>
        <v>0</v>
      </c>
      <c r="T249" s="327">
        <f t="shared" si="24"/>
        <v>0</v>
      </c>
      <c r="U249" s="326">
        <f>T249*係数!$I$30</f>
        <v>0</v>
      </c>
      <c r="V249" s="326">
        <f>T249*係数!$C$30*0.0000258</f>
        <v>0</v>
      </c>
      <c r="W249" s="282">
        <f t="shared" si="25"/>
        <v>0</v>
      </c>
      <c r="X249" s="337">
        <f t="shared" si="26"/>
        <v>0</v>
      </c>
      <c r="Y249" s="244">
        <f t="shared" si="27"/>
        <v>0</v>
      </c>
    </row>
    <row r="250" spans="2:25">
      <c r="B250" s="59" t="s">
        <v>529</v>
      </c>
      <c r="C250" s="10"/>
      <c r="D250" s="3"/>
      <c r="E250" s="483"/>
      <c r="F250" s="35"/>
      <c r="G250" s="35"/>
      <c r="H250" s="51" t="s">
        <v>341</v>
      </c>
      <c r="I250" s="3"/>
      <c r="J250" s="331">
        <f t="shared" si="28"/>
        <v>0</v>
      </c>
      <c r="K250" s="331">
        <f t="shared" si="22"/>
        <v>0</v>
      </c>
      <c r="L250" s="326">
        <f>K250*係数!$I$30</f>
        <v>0</v>
      </c>
      <c r="M250" s="326">
        <f>K250*係数!$C$30*0.0000258</f>
        <v>0</v>
      </c>
      <c r="N250" s="10"/>
      <c r="O250" s="3"/>
      <c r="P250" s="483"/>
      <c r="Q250" s="51" t="s">
        <v>341</v>
      </c>
      <c r="R250" s="3"/>
      <c r="S250" s="329">
        <f t="shared" si="23"/>
        <v>0</v>
      </c>
      <c r="T250" s="327">
        <f t="shared" si="24"/>
        <v>0</v>
      </c>
      <c r="U250" s="326">
        <f>T250*係数!$I$30</f>
        <v>0</v>
      </c>
      <c r="V250" s="326">
        <f>T250*係数!$C$30*0.0000258</f>
        <v>0</v>
      </c>
      <c r="W250" s="282">
        <f t="shared" si="25"/>
        <v>0</v>
      </c>
      <c r="X250" s="337">
        <f t="shared" si="26"/>
        <v>0</v>
      </c>
      <c r="Y250" s="244">
        <f t="shared" si="27"/>
        <v>0</v>
      </c>
    </row>
    <row r="251" spans="2:25">
      <c r="B251" s="59" t="s">
        <v>530</v>
      </c>
      <c r="C251" s="10"/>
      <c r="D251" s="3"/>
      <c r="E251" s="483"/>
      <c r="F251" s="35"/>
      <c r="G251" s="35"/>
      <c r="H251" s="51" t="s">
        <v>341</v>
      </c>
      <c r="I251" s="3"/>
      <c r="J251" s="331">
        <f t="shared" si="28"/>
        <v>0</v>
      </c>
      <c r="K251" s="331">
        <f t="shared" si="22"/>
        <v>0</v>
      </c>
      <c r="L251" s="326">
        <f>K251*係数!$I$30</f>
        <v>0</v>
      </c>
      <c r="M251" s="326">
        <f>K251*係数!$C$30*0.0000258</f>
        <v>0</v>
      </c>
      <c r="N251" s="10"/>
      <c r="O251" s="3"/>
      <c r="P251" s="483"/>
      <c r="Q251" s="51" t="s">
        <v>341</v>
      </c>
      <c r="R251" s="3"/>
      <c r="S251" s="329">
        <f t="shared" si="23"/>
        <v>0</v>
      </c>
      <c r="T251" s="327">
        <f t="shared" si="24"/>
        <v>0</v>
      </c>
      <c r="U251" s="326">
        <f>T251*係数!$I$30</f>
        <v>0</v>
      </c>
      <c r="V251" s="326">
        <f>T251*係数!$C$30*0.0000258</f>
        <v>0</v>
      </c>
      <c r="W251" s="282">
        <f t="shared" si="25"/>
        <v>0</v>
      </c>
      <c r="X251" s="337">
        <f t="shared" si="26"/>
        <v>0</v>
      </c>
      <c r="Y251" s="244">
        <f t="shared" si="27"/>
        <v>0</v>
      </c>
    </row>
    <row r="252" spans="2:25">
      <c r="B252" s="59" t="s">
        <v>531</v>
      </c>
      <c r="C252" s="10"/>
      <c r="D252" s="3"/>
      <c r="E252" s="483"/>
      <c r="F252" s="35"/>
      <c r="G252" s="35"/>
      <c r="H252" s="51" t="s">
        <v>341</v>
      </c>
      <c r="I252" s="3"/>
      <c r="J252" s="331">
        <f t="shared" si="28"/>
        <v>0</v>
      </c>
      <c r="K252" s="331">
        <f t="shared" si="22"/>
        <v>0</v>
      </c>
      <c r="L252" s="326">
        <f>K252*係数!$I$30</f>
        <v>0</v>
      </c>
      <c r="M252" s="326">
        <f>K252*係数!$C$30*0.0000258</f>
        <v>0</v>
      </c>
      <c r="N252" s="10"/>
      <c r="O252" s="3"/>
      <c r="P252" s="483"/>
      <c r="Q252" s="51" t="s">
        <v>341</v>
      </c>
      <c r="R252" s="3"/>
      <c r="S252" s="329">
        <f t="shared" si="23"/>
        <v>0</v>
      </c>
      <c r="T252" s="327">
        <f t="shared" si="24"/>
        <v>0</v>
      </c>
      <c r="U252" s="326">
        <f>T252*係数!$I$30</f>
        <v>0</v>
      </c>
      <c r="V252" s="326">
        <f>T252*係数!$C$30*0.0000258</f>
        <v>0</v>
      </c>
      <c r="W252" s="282">
        <f t="shared" si="25"/>
        <v>0</v>
      </c>
      <c r="X252" s="337">
        <f t="shared" si="26"/>
        <v>0</v>
      </c>
      <c r="Y252" s="244">
        <f t="shared" si="27"/>
        <v>0</v>
      </c>
    </row>
    <row r="253" spans="2:25">
      <c r="B253" s="59" t="s">
        <v>532</v>
      </c>
      <c r="C253" s="10"/>
      <c r="D253" s="3"/>
      <c r="E253" s="483"/>
      <c r="F253" s="35"/>
      <c r="G253" s="35"/>
      <c r="H253" s="51" t="s">
        <v>341</v>
      </c>
      <c r="I253" s="3"/>
      <c r="J253" s="331">
        <f t="shared" si="28"/>
        <v>0</v>
      </c>
      <c r="K253" s="331">
        <f t="shared" si="22"/>
        <v>0</v>
      </c>
      <c r="L253" s="326">
        <f>K253*係数!$I$30</f>
        <v>0</v>
      </c>
      <c r="M253" s="326">
        <f>K253*係数!$C$30*0.0000258</f>
        <v>0</v>
      </c>
      <c r="N253" s="10"/>
      <c r="O253" s="3"/>
      <c r="P253" s="483"/>
      <c r="Q253" s="51" t="s">
        <v>341</v>
      </c>
      <c r="R253" s="3"/>
      <c r="S253" s="329">
        <f t="shared" si="23"/>
        <v>0</v>
      </c>
      <c r="T253" s="327">
        <f t="shared" si="24"/>
        <v>0</v>
      </c>
      <c r="U253" s="326">
        <f>T253*係数!$I$30</f>
        <v>0</v>
      </c>
      <c r="V253" s="326">
        <f>T253*係数!$C$30*0.0000258</f>
        <v>0</v>
      </c>
      <c r="W253" s="282">
        <f t="shared" si="25"/>
        <v>0</v>
      </c>
      <c r="X253" s="337">
        <f t="shared" si="26"/>
        <v>0</v>
      </c>
      <c r="Y253" s="244">
        <f t="shared" si="27"/>
        <v>0</v>
      </c>
    </row>
    <row r="254" spans="2:25">
      <c r="B254" s="59" t="s">
        <v>533</v>
      </c>
      <c r="C254" s="10"/>
      <c r="D254" s="3"/>
      <c r="E254" s="483"/>
      <c r="F254" s="35"/>
      <c r="G254" s="35"/>
      <c r="H254" s="51" t="s">
        <v>341</v>
      </c>
      <c r="I254" s="3"/>
      <c r="J254" s="331">
        <f t="shared" si="28"/>
        <v>0</v>
      </c>
      <c r="K254" s="331">
        <f t="shared" si="22"/>
        <v>0</v>
      </c>
      <c r="L254" s="326">
        <f>K254*係数!$I$30</f>
        <v>0</v>
      </c>
      <c r="M254" s="326">
        <f>K254*係数!$C$30*0.0000258</f>
        <v>0</v>
      </c>
      <c r="N254" s="10"/>
      <c r="O254" s="3"/>
      <c r="P254" s="483"/>
      <c r="Q254" s="51" t="s">
        <v>341</v>
      </c>
      <c r="R254" s="3"/>
      <c r="S254" s="329">
        <f t="shared" si="23"/>
        <v>0</v>
      </c>
      <c r="T254" s="327">
        <f t="shared" si="24"/>
        <v>0</v>
      </c>
      <c r="U254" s="326">
        <f>T254*係数!$I$30</f>
        <v>0</v>
      </c>
      <c r="V254" s="326">
        <f>T254*係数!$C$30*0.0000258</f>
        <v>0</v>
      </c>
      <c r="W254" s="282">
        <f t="shared" si="25"/>
        <v>0</v>
      </c>
      <c r="X254" s="337">
        <f t="shared" si="26"/>
        <v>0</v>
      </c>
      <c r="Y254" s="244">
        <f t="shared" si="27"/>
        <v>0</v>
      </c>
    </row>
    <row r="255" spans="2:25">
      <c r="B255" s="59" t="s">
        <v>534</v>
      </c>
      <c r="C255" s="10"/>
      <c r="D255" s="3"/>
      <c r="E255" s="483"/>
      <c r="F255" s="35"/>
      <c r="G255" s="35"/>
      <c r="H255" s="51" t="s">
        <v>341</v>
      </c>
      <c r="I255" s="3"/>
      <c r="J255" s="331">
        <f t="shared" si="28"/>
        <v>0</v>
      </c>
      <c r="K255" s="331">
        <f t="shared" si="22"/>
        <v>0</v>
      </c>
      <c r="L255" s="326">
        <f>K255*係数!$I$30</f>
        <v>0</v>
      </c>
      <c r="M255" s="326">
        <f>K255*係数!$C$30*0.0000258</f>
        <v>0</v>
      </c>
      <c r="N255" s="10"/>
      <c r="O255" s="3"/>
      <c r="P255" s="483"/>
      <c r="Q255" s="51" t="s">
        <v>341</v>
      </c>
      <c r="R255" s="3"/>
      <c r="S255" s="329">
        <f t="shared" si="23"/>
        <v>0</v>
      </c>
      <c r="T255" s="327">
        <f t="shared" si="24"/>
        <v>0</v>
      </c>
      <c r="U255" s="326">
        <f>T255*係数!$I$30</f>
        <v>0</v>
      </c>
      <c r="V255" s="326">
        <f>T255*係数!$C$30*0.0000258</f>
        <v>0</v>
      </c>
      <c r="W255" s="282">
        <f t="shared" si="25"/>
        <v>0</v>
      </c>
      <c r="X255" s="337">
        <f t="shared" si="26"/>
        <v>0</v>
      </c>
      <c r="Y255" s="244">
        <f t="shared" si="27"/>
        <v>0</v>
      </c>
    </row>
    <row r="256" spans="2:25">
      <c r="B256" s="59" t="s">
        <v>535</v>
      </c>
      <c r="C256" s="10"/>
      <c r="D256" s="3"/>
      <c r="E256" s="483"/>
      <c r="F256" s="35"/>
      <c r="G256" s="35"/>
      <c r="H256" s="51" t="s">
        <v>341</v>
      </c>
      <c r="I256" s="3"/>
      <c r="J256" s="331">
        <f t="shared" si="28"/>
        <v>0</v>
      </c>
      <c r="K256" s="331">
        <f t="shared" si="22"/>
        <v>0</v>
      </c>
      <c r="L256" s="326">
        <f>K256*係数!$I$30</f>
        <v>0</v>
      </c>
      <c r="M256" s="326">
        <f>K256*係数!$C$30*0.0000258</f>
        <v>0</v>
      </c>
      <c r="N256" s="10"/>
      <c r="O256" s="3"/>
      <c r="P256" s="483"/>
      <c r="Q256" s="51" t="s">
        <v>341</v>
      </c>
      <c r="R256" s="3"/>
      <c r="S256" s="329">
        <f t="shared" si="23"/>
        <v>0</v>
      </c>
      <c r="T256" s="327">
        <f t="shared" si="24"/>
        <v>0</v>
      </c>
      <c r="U256" s="326">
        <f>T256*係数!$I$30</f>
        <v>0</v>
      </c>
      <c r="V256" s="326">
        <f>T256*係数!$C$30*0.0000258</f>
        <v>0</v>
      </c>
      <c r="W256" s="282">
        <f t="shared" si="25"/>
        <v>0</v>
      </c>
      <c r="X256" s="337">
        <f t="shared" si="26"/>
        <v>0</v>
      </c>
      <c r="Y256" s="244">
        <f t="shared" si="27"/>
        <v>0</v>
      </c>
    </row>
    <row r="257" spans="2:25">
      <c r="B257" s="59" t="s">
        <v>536</v>
      </c>
      <c r="C257" s="10"/>
      <c r="D257" s="3"/>
      <c r="E257" s="483"/>
      <c r="F257" s="35"/>
      <c r="G257" s="35"/>
      <c r="H257" s="51" t="s">
        <v>341</v>
      </c>
      <c r="I257" s="3"/>
      <c r="J257" s="331">
        <f t="shared" si="28"/>
        <v>0</v>
      </c>
      <c r="K257" s="331">
        <f t="shared" si="22"/>
        <v>0</v>
      </c>
      <c r="L257" s="326">
        <f>K257*係数!$I$30</f>
        <v>0</v>
      </c>
      <c r="M257" s="326">
        <f>K257*係数!$C$30*0.0000258</f>
        <v>0</v>
      </c>
      <c r="N257" s="10"/>
      <c r="O257" s="3"/>
      <c r="P257" s="483"/>
      <c r="Q257" s="51" t="s">
        <v>341</v>
      </c>
      <c r="R257" s="3"/>
      <c r="S257" s="329">
        <f t="shared" si="23"/>
        <v>0</v>
      </c>
      <c r="T257" s="327">
        <f t="shared" si="24"/>
        <v>0</v>
      </c>
      <c r="U257" s="326">
        <f>T257*係数!$I$30</f>
        <v>0</v>
      </c>
      <c r="V257" s="326">
        <f>T257*係数!$C$30*0.0000258</f>
        <v>0</v>
      </c>
      <c r="W257" s="282">
        <f t="shared" si="25"/>
        <v>0</v>
      </c>
      <c r="X257" s="337">
        <f t="shared" si="26"/>
        <v>0</v>
      </c>
      <c r="Y257" s="244">
        <f t="shared" si="27"/>
        <v>0</v>
      </c>
    </row>
    <row r="258" spans="2:25">
      <c r="B258" s="59" t="s">
        <v>537</v>
      </c>
      <c r="C258" s="10"/>
      <c r="D258" s="3"/>
      <c r="E258" s="483"/>
      <c r="F258" s="35"/>
      <c r="G258" s="35"/>
      <c r="H258" s="51" t="s">
        <v>341</v>
      </c>
      <c r="I258" s="3"/>
      <c r="J258" s="331">
        <f t="shared" si="28"/>
        <v>0</v>
      </c>
      <c r="K258" s="331">
        <f t="shared" si="22"/>
        <v>0</v>
      </c>
      <c r="L258" s="326">
        <f>K258*係数!$I$30</f>
        <v>0</v>
      </c>
      <c r="M258" s="326">
        <f>K258*係数!$C$30*0.0000258</f>
        <v>0</v>
      </c>
      <c r="N258" s="10"/>
      <c r="O258" s="3"/>
      <c r="P258" s="483"/>
      <c r="Q258" s="51" t="s">
        <v>341</v>
      </c>
      <c r="R258" s="3"/>
      <c r="S258" s="329">
        <f t="shared" si="23"/>
        <v>0</v>
      </c>
      <c r="T258" s="327">
        <f t="shared" si="24"/>
        <v>0</v>
      </c>
      <c r="U258" s="326">
        <f>T258*係数!$I$30</f>
        <v>0</v>
      </c>
      <c r="V258" s="326">
        <f>T258*係数!$C$30*0.0000258</f>
        <v>0</v>
      </c>
      <c r="W258" s="282">
        <f t="shared" si="25"/>
        <v>0</v>
      </c>
      <c r="X258" s="337">
        <f t="shared" si="26"/>
        <v>0</v>
      </c>
      <c r="Y258" s="244">
        <f t="shared" si="27"/>
        <v>0</v>
      </c>
    </row>
    <row r="259" spans="2:25">
      <c r="B259" s="59" t="s">
        <v>538</v>
      </c>
      <c r="C259" s="10"/>
      <c r="D259" s="3"/>
      <c r="E259" s="483"/>
      <c r="F259" s="35"/>
      <c r="G259" s="35"/>
      <c r="H259" s="51" t="s">
        <v>341</v>
      </c>
      <c r="I259" s="3"/>
      <c r="J259" s="331">
        <f t="shared" si="28"/>
        <v>0</v>
      </c>
      <c r="K259" s="331">
        <f t="shared" si="22"/>
        <v>0</v>
      </c>
      <c r="L259" s="326">
        <f>K259*係数!$I$30</f>
        <v>0</v>
      </c>
      <c r="M259" s="326">
        <f>K259*係数!$C$30*0.0000258</f>
        <v>0</v>
      </c>
      <c r="N259" s="10"/>
      <c r="O259" s="3"/>
      <c r="P259" s="483"/>
      <c r="Q259" s="51" t="s">
        <v>341</v>
      </c>
      <c r="R259" s="3"/>
      <c r="S259" s="329">
        <f t="shared" si="23"/>
        <v>0</v>
      </c>
      <c r="T259" s="327">
        <f t="shared" si="24"/>
        <v>0</v>
      </c>
      <c r="U259" s="326">
        <f>T259*係数!$I$30</f>
        <v>0</v>
      </c>
      <c r="V259" s="326">
        <f>T259*係数!$C$30*0.0000258</f>
        <v>0</v>
      </c>
      <c r="W259" s="282">
        <f t="shared" si="25"/>
        <v>0</v>
      </c>
      <c r="X259" s="337">
        <f t="shared" si="26"/>
        <v>0</v>
      </c>
      <c r="Y259" s="244">
        <f t="shared" si="27"/>
        <v>0</v>
      </c>
    </row>
    <row r="260" spans="2:25">
      <c r="B260" s="59" t="s">
        <v>539</v>
      </c>
      <c r="C260" s="10"/>
      <c r="D260" s="3"/>
      <c r="E260" s="483"/>
      <c r="F260" s="35"/>
      <c r="G260" s="35"/>
      <c r="H260" s="51" t="s">
        <v>341</v>
      </c>
      <c r="I260" s="3"/>
      <c r="J260" s="331">
        <f t="shared" si="28"/>
        <v>0</v>
      </c>
      <c r="K260" s="331">
        <f t="shared" si="22"/>
        <v>0</v>
      </c>
      <c r="L260" s="326">
        <f>K260*係数!$I$30</f>
        <v>0</v>
      </c>
      <c r="M260" s="326">
        <f>K260*係数!$C$30*0.0000258</f>
        <v>0</v>
      </c>
      <c r="N260" s="10"/>
      <c r="O260" s="3"/>
      <c r="P260" s="483"/>
      <c r="Q260" s="51" t="s">
        <v>341</v>
      </c>
      <c r="R260" s="3"/>
      <c r="S260" s="329">
        <f t="shared" si="23"/>
        <v>0</v>
      </c>
      <c r="T260" s="327">
        <f t="shared" si="24"/>
        <v>0</v>
      </c>
      <c r="U260" s="326">
        <f>T260*係数!$I$30</f>
        <v>0</v>
      </c>
      <c r="V260" s="326">
        <f>T260*係数!$C$30*0.0000258</f>
        <v>0</v>
      </c>
      <c r="W260" s="282">
        <f t="shared" si="25"/>
        <v>0</v>
      </c>
      <c r="X260" s="337">
        <f t="shared" si="26"/>
        <v>0</v>
      </c>
      <c r="Y260" s="244">
        <f t="shared" si="27"/>
        <v>0</v>
      </c>
    </row>
    <row r="261" spans="2:25">
      <c r="B261" s="59" t="s">
        <v>540</v>
      </c>
      <c r="C261" s="10"/>
      <c r="D261" s="3"/>
      <c r="E261" s="483"/>
      <c r="F261" s="35"/>
      <c r="G261" s="35"/>
      <c r="H261" s="51" t="s">
        <v>341</v>
      </c>
      <c r="I261" s="3"/>
      <c r="J261" s="331">
        <f t="shared" si="28"/>
        <v>0</v>
      </c>
      <c r="K261" s="331">
        <f t="shared" si="22"/>
        <v>0</v>
      </c>
      <c r="L261" s="326">
        <f>K261*係数!$I$30</f>
        <v>0</v>
      </c>
      <c r="M261" s="326">
        <f>K261*係数!$C$30*0.0000258</f>
        <v>0</v>
      </c>
      <c r="N261" s="10"/>
      <c r="O261" s="3"/>
      <c r="P261" s="483"/>
      <c r="Q261" s="51" t="s">
        <v>341</v>
      </c>
      <c r="R261" s="3"/>
      <c r="S261" s="329">
        <f t="shared" si="23"/>
        <v>0</v>
      </c>
      <c r="T261" s="327">
        <f t="shared" si="24"/>
        <v>0</v>
      </c>
      <c r="U261" s="326">
        <f>T261*係数!$I$30</f>
        <v>0</v>
      </c>
      <c r="V261" s="326">
        <f>T261*係数!$C$30*0.0000258</f>
        <v>0</v>
      </c>
      <c r="W261" s="282">
        <f t="shared" si="25"/>
        <v>0</v>
      </c>
      <c r="X261" s="337">
        <f t="shared" si="26"/>
        <v>0</v>
      </c>
      <c r="Y261" s="244">
        <f t="shared" si="27"/>
        <v>0</v>
      </c>
    </row>
    <row r="262" spans="2:25">
      <c r="B262" s="59" t="s">
        <v>541</v>
      </c>
      <c r="C262" s="10"/>
      <c r="D262" s="3"/>
      <c r="E262" s="483"/>
      <c r="F262" s="35"/>
      <c r="G262" s="35"/>
      <c r="H262" s="51" t="s">
        <v>341</v>
      </c>
      <c r="I262" s="3"/>
      <c r="J262" s="331">
        <f t="shared" si="28"/>
        <v>0</v>
      </c>
      <c r="K262" s="331">
        <f t="shared" si="22"/>
        <v>0</v>
      </c>
      <c r="L262" s="326">
        <f>K262*係数!$I$30</f>
        <v>0</v>
      </c>
      <c r="M262" s="326">
        <f>K262*係数!$C$30*0.0000258</f>
        <v>0</v>
      </c>
      <c r="N262" s="10"/>
      <c r="O262" s="3"/>
      <c r="P262" s="483"/>
      <c r="Q262" s="51" t="s">
        <v>341</v>
      </c>
      <c r="R262" s="3"/>
      <c r="S262" s="329">
        <f t="shared" si="23"/>
        <v>0</v>
      </c>
      <c r="T262" s="327">
        <f t="shared" si="24"/>
        <v>0</v>
      </c>
      <c r="U262" s="326">
        <f>T262*係数!$I$30</f>
        <v>0</v>
      </c>
      <c r="V262" s="326">
        <f>T262*係数!$C$30*0.0000258</f>
        <v>0</v>
      </c>
      <c r="W262" s="282">
        <f t="shared" si="25"/>
        <v>0</v>
      </c>
      <c r="X262" s="337">
        <f t="shared" si="26"/>
        <v>0</v>
      </c>
      <c r="Y262" s="244">
        <f t="shared" si="27"/>
        <v>0</v>
      </c>
    </row>
    <row r="263" spans="2:25">
      <c r="B263" s="59" t="s">
        <v>542</v>
      </c>
      <c r="C263" s="10"/>
      <c r="D263" s="3"/>
      <c r="E263" s="483"/>
      <c r="F263" s="35"/>
      <c r="G263" s="35"/>
      <c r="H263" s="51" t="s">
        <v>341</v>
      </c>
      <c r="I263" s="3"/>
      <c r="J263" s="331">
        <f t="shared" si="28"/>
        <v>0</v>
      </c>
      <c r="K263" s="331">
        <f t="shared" si="22"/>
        <v>0</v>
      </c>
      <c r="L263" s="326">
        <f>K263*係数!$I$30</f>
        <v>0</v>
      </c>
      <c r="M263" s="326">
        <f>K263*係数!$C$30*0.0000258</f>
        <v>0</v>
      </c>
      <c r="N263" s="10"/>
      <c r="O263" s="3"/>
      <c r="P263" s="483"/>
      <c r="Q263" s="51" t="s">
        <v>341</v>
      </c>
      <c r="R263" s="3"/>
      <c r="S263" s="329">
        <f t="shared" si="23"/>
        <v>0</v>
      </c>
      <c r="T263" s="327">
        <f t="shared" si="24"/>
        <v>0</v>
      </c>
      <c r="U263" s="326">
        <f>T263*係数!$I$30</f>
        <v>0</v>
      </c>
      <c r="V263" s="326">
        <f>T263*係数!$C$30*0.0000258</f>
        <v>0</v>
      </c>
      <c r="W263" s="282">
        <f t="shared" si="25"/>
        <v>0</v>
      </c>
      <c r="X263" s="337">
        <f t="shared" si="26"/>
        <v>0</v>
      </c>
      <c r="Y263" s="244">
        <f t="shared" si="27"/>
        <v>0</v>
      </c>
    </row>
    <row r="264" spans="2:25">
      <c r="B264" s="59" t="s">
        <v>543</v>
      </c>
      <c r="C264" s="10"/>
      <c r="D264" s="3"/>
      <c r="E264" s="483"/>
      <c r="F264" s="35"/>
      <c r="G264" s="35"/>
      <c r="H264" s="51" t="s">
        <v>341</v>
      </c>
      <c r="I264" s="3"/>
      <c r="J264" s="331">
        <f t="shared" si="28"/>
        <v>0</v>
      </c>
      <c r="K264" s="331">
        <f t="shared" si="22"/>
        <v>0</v>
      </c>
      <c r="L264" s="326">
        <f>K264*係数!$I$30</f>
        <v>0</v>
      </c>
      <c r="M264" s="326">
        <f>K264*係数!$C$30*0.0000258</f>
        <v>0</v>
      </c>
      <c r="N264" s="10"/>
      <c r="O264" s="3"/>
      <c r="P264" s="483"/>
      <c r="Q264" s="51" t="s">
        <v>341</v>
      </c>
      <c r="R264" s="3"/>
      <c r="S264" s="329">
        <f t="shared" si="23"/>
        <v>0</v>
      </c>
      <c r="T264" s="327">
        <f t="shared" si="24"/>
        <v>0</v>
      </c>
      <c r="U264" s="326">
        <f>T264*係数!$I$30</f>
        <v>0</v>
      </c>
      <c r="V264" s="326">
        <f>T264*係数!$C$30*0.0000258</f>
        <v>0</v>
      </c>
      <c r="W264" s="282">
        <f t="shared" si="25"/>
        <v>0</v>
      </c>
      <c r="X264" s="337">
        <f t="shared" si="26"/>
        <v>0</v>
      </c>
      <c r="Y264" s="244">
        <f t="shared" si="27"/>
        <v>0</v>
      </c>
    </row>
    <row r="265" spans="2:25">
      <c r="B265" s="59" t="s">
        <v>544</v>
      </c>
      <c r="C265" s="10"/>
      <c r="D265" s="3"/>
      <c r="E265" s="483"/>
      <c r="F265" s="35"/>
      <c r="G265" s="35"/>
      <c r="H265" s="51" t="s">
        <v>341</v>
      </c>
      <c r="I265" s="3"/>
      <c r="J265" s="331">
        <f t="shared" si="28"/>
        <v>0</v>
      </c>
      <c r="K265" s="331">
        <f t="shared" si="22"/>
        <v>0</v>
      </c>
      <c r="L265" s="326">
        <f>K265*係数!$I$30</f>
        <v>0</v>
      </c>
      <c r="M265" s="326">
        <f>K265*係数!$C$30*0.0000258</f>
        <v>0</v>
      </c>
      <c r="N265" s="10"/>
      <c r="O265" s="3"/>
      <c r="P265" s="483"/>
      <c r="Q265" s="51" t="s">
        <v>341</v>
      </c>
      <c r="R265" s="3"/>
      <c r="S265" s="329">
        <f t="shared" si="23"/>
        <v>0</v>
      </c>
      <c r="T265" s="327">
        <f t="shared" si="24"/>
        <v>0</v>
      </c>
      <c r="U265" s="326">
        <f>T265*係数!$I$30</f>
        <v>0</v>
      </c>
      <c r="V265" s="326">
        <f>T265*係数!$C$30*0.0000258</f>
        <v>0</v>
      </c>
      <c r="W265" s="282">
        <f t="shared" si="25"/>
        <v>0</v>
      </c>
      <c r="X265" s="337">
        <f t="shared" si="26"/>
        <v>0</v>
      </c>
      <c r="Y265" s="244">
        <f t="shared" si="27"/>
        <v>0</v>
      </c>
    </row>
    <row r="266" spans="2:25">
      <c r="B266" s="59" t="s">
        <v>545</v>
      </c>
      <c r="C266" s="10"/>
      <c r="D266" s="3"/>
      <c r="E266" s="483"/>
      <c r="F266" s="35"/>
      <c r="G266" s="35"/>
      <c r="H266" s="51" t="s">
        <v>341</v>
      </c>
      <c r="I266" s="3"/>
      <c r="J266" s="331">
        <f t="shared" si="28"/>
        <v>0</v>
      </c>
      <c r="K266" s="331">
        <f t="shared" si="22"/>
        <v>0</v>
      </c>
      <c r="L266" s="326">
        <f>K266*係数!$I$30</f>
        <v>0</v>
      </c>
      <c r="M266" s="326">
        <f>K266*係数!$C$30*0.0000258</f>
        <v>0</v>
      </c>
      <c r="N266" s="10"/>
      <c r="O266" s="3"/>
      <c r="P266" s="483"/>
      <c r="Q266" s="51" t="s">
        <v>341</v>
      </c>
      <c r="R266" s="3"/>
      <c r="S266" s="329">
        <f t="shared" si="23"/>
        <v>0</v>
      </c>
      <c r="T266" s="327">
        <f t="shared" si="24"/>
        <v>0</v>
      </c>
      <c r="U266" s="326">
        <f>T266*係数!$I$30</f>
        <v>0</v>
      </c>
      <c r="V266" s="326">
        <f>T266*係数!$C$30*0.0000258</f>
        <v>0</v>
      </c>
      <c r="W266" s="282">
        <f t="shared" si="25"/>
        <v>0</v>
      </c>
      <c r="X266" s="337">
        <f t="shared" si="26"/>
        <v>0</v>
      </c>
      <c r="Y266" s="244">
        <f t="shared" si="27"/>
        <v>0</v>
      </c>
    </row>
    <row r="267" spans="2:25">
      <c r="B267" s="59" t="s">
        <v>546</v>
      </c>
      <c r="C267" s="10"/>
      <c r="D267" s="3"/>
      <c r="E267" s="483"/>
      <c r="F267" s="35"/>
      <c r="G267" s="35"/>
      <c r="H267" s="51" t="s">
        <v>341</v>
      </c>
      <c r="I267" s="3"/>
      <c r="J267" s="331">
        <f t="shared" si="28"/>
        <v>0</v>
      </c>
      <c r="K267" s="331">
        <f t="shared" si="22"/>
        <v>0</v>
      </c>
      <c r="L267" s="326">
        <f>K267*係数!$I$30</f>
        <v>0</v>
      </c>
      <c r="M267" s="326">
        <f>K267*係数!$C$30*0.0000258</f>
        <v>0</v>
      </c>
      <c r="N267" s="10"/>
      <c r="O267" s="3"/>
      <c r="P267" s="483"/>
      <c r="Q267" s="51" t="s">
        <v>341</v>
      </c>
      <c r="R267" s="3"/>
      <c r="S267" s="329">
        <f t="shared" si="23"/>
        <v>0</v>
      </c>
      <c r="T267" s="327">
        <f t="shared" si="24"/>
        <v>0</v>
      </c>
      <c r="U267" s="326">
        <f>T267*係数!$I$30</f>
        <v>0</v>
      </c>
      <c r="V267" s="326">
        <f>T267*係数!$C$30*0.0000258</f>
        <v>0</v>
      </c>
      <c r="W267" s="282">
        <f t="shared" si="25"/>
        <v>0</v>
      </c>
      <c r="X267" s="337">
        <f t="shared" si="26"/>
        <v>0</v>
      </c>
      <c r="Y267" s="244">
        <f t="shared" si="27"/>
        <v>0</v>
      </c>
    </row>
    <row r="268" spans="2:25">
      <c r="B268" s="59" t="s">
        <v>547</v>
      </c>
      <c r="C268" s="10"/>
      <c r="D268" s="3"/>
      <c r="E268" s="483"/>
      <c r="F268" s="35"/>
      <c r="G268" s="35"/>
      <c r="H268" s="51" t="s">
        <v>341</v>
      </c>
      <c r="I268" s="3"/>
      <c r="J268" s="331">
        <f t="shared" si="28"/>
        <v>0</v>
      </c>
      <c r="K268" s="331">
        <f t="shared" si="22"/>
        <v>0</v>
      </c>
      <c r="L268" s="326">
        <f>K268*係数!$I$30</f>
        <v>0</v>
      </c>
      <c r="M268" s="326">
        <f>K268*係数!$C$30*0.0000258</f>
        <v>0</v>
      </c>
      <c r="N268" s="10"/>
      <c r="O268" s="3"/>
      <c r="P268" s="483"/>
      <c r="Q268" s="51" t="s">
        <v>341</v>
      </c>
      <c r="R268" s="3"/>
      <c r="S268" s="329">
        <f t="shared" si="23"/>
        <v>0</v>
      </c>
      <c r="T268" s="327">
        <f t="shared" si="24"/>
        <v>0</v>
      </c>
      <c r="U268" s="326">
        <f>T268*係数!$I$30</f>
        <v>0</v>
      </c>
      <c r="V268" s="326">
        <f>T268*係数!$C$30*0.0000258</f>
        <v>0</v>
      </c>
      <c r="W268" s="282">
        <f t="shared" si="25"/>
        <v>0</v>
      </c>
      <c r="X268" s="337">
        <f t="shared" si="26"/>
        <v>0</v>
      </c>
      <c r="Y268" s="244">
        <f t="shared" si="27"/>
        <v>0</v>
      </c>
    </row>
    <row r="269" spans="2:25">
      <c r="B269" s="59" t="s">
        <v>548</v>
      </c>
      <c r="C269" s="10"/>
      <c r="D269" s="3"/>
      <c r="E269" s="483"/>
      <c r="F269" s="35"/>
      <c r="G269" s="35"/>
      <c r="H269" s="51" t="s">
        <v>341</v>
      </c>
      <c r="I269" s="3"/>
      <c r="J269" s="331">
        <f t="shared" si="28"/>
        <v>0</v>
      </c>
      <c r="K269" s="331">
        <f t="shared" si="22"/>
        <v>0</v>
      </c>
      <c r="L269" s="326">
        <f>K269*係数!$I$30</f>
        <v>0</v>
      </c>
      <c r="M269" s="326">
        <f>K269*係数!$C$30*0.0000258</f>
        <v>0</v>
      </c>
      <c r="N269" s="10"/>
      <c r="O269" s="3"/>
      <c r="P269" s="483"/>
      <c r="Q269" s="51" t="s">
        <v>341</v>
      </c>
      <c r="R269" s="3"/>
      <c r="S269" s="329">
        <f t="shared" si="23"/>
        <v>0</v>
      </c>
      <c r="T269" s="327">
        <f t="shared" si="24"/>
        <v>0</v>
      </c>
      <c r="U269" s="326">
        <f>T269*係数!$I$30</f>
        <v>0</v>
      </c>
      <c r="V269" s="326">
        <f>T269*係数!$C$30*0.0000258</f>
        <v>0</v>
      </c>
      <c r="W269" s="282">
        <f t="shared" si="25"/>
        <v>0</v>
      </c>
      <c r="X269" s="337">
        <f t="shared" si="26"/>
        <v>0</v>
      </c>
      <c r="Y269" s="244">
        <f t="shared" si="27"/>
        <v>0</v>
      </c>
    </row>
    <row r="270" spans="2:25">
      <c r="B270" s="59" t="s">
        <v>549</v>
      </c>
      <c r="C270" s="10"/>
      <c r="D270" s="3"/>
      <c r="E270" s="483"/>
      <c r="F270" s="35"/>
      <c r="G270" s="35"/>
      <c r="H270" s="51" t="s">
        <v>341</v>
      </c>
      <c r="I270" s="3"/>
      <c r="J270" s="331">
        <f t="shared" si="28"/>
        <v>0</v>
      </c>
      <c r="K270" s="331">
        <f t="shared" si="22"/>
        <v>0</v>
      </c>
      <c r="L270" s="326">
        <f>K270*係数!$I$30</f>
        <v>0</v>
      </c>
      <c r="M270" s="326">
        <f>K270*係数!$C$30*0.0000258</f>
        <v>0</v>
      </c>
      <c r="N270" s="10"/>
      <c r="O270" s="3"/>
      <c r="P270" s="483"/>
      <c r="Q270" s="51" t="s">
        <v>341</v>
      </c>
      <c r="R270" s="3"/>
      <c r="S270" s="329">
        <f t="shared" si="23"/>
        <v>0</v>
      </c>
      <c r="T270" s="327">
        <f t="shared" si="24"/>
        <v>0</v>
      </c>
      <c r="U270" s="326">
        <f>T270*係数!$I$30</f>
        <v>0</v>
      </c>
      <c r="V270" s="326">
        <f>T270*係数!$C$30*0.0000258</f>
        <v>0</v>
      </c>
      <c r="W270" s="282">
        <f t="shared" si="25"/>
        <v>0</v>
      </c>
      <c r="X270" s="337">
        <f t="shared" si="26"/>
        <v>0</v>
      </c>
      <c r="Y270" s="244">
        <f t="shared" si="27"/>
        <v>0</v>
      </c>
    </row>
    <row r="271" spans="2:25">
      <c r="B271" s="59" t="s">
        <v>550</v>
      </c>
      <c r="C271" s="10"/>
      <c r="D271" s="3"/>
      <c r="E271" s="483"/>
      <c r="F271" s="35"/>
      <c r="G271" s="35"/>
      <c r="H271" s="51" t="s">
        <v>341</v>
      </c>
      <c r="I271" s="3"/>
      <c r="J271" s="331">
        <f t="shared" si="28"/>
        <v>0</v>
      </c>
      <c r="K271" s="331">
        <f t="shared" si="22"/>
        <v>0</v>
      </c>
      <c r="L271" s="326">
        <f>K271*係数!$I$30</f>
        <v>0</v>
      </c>
      <c r="M271" s="326">
        <f>K271*係数!$C$30*0.0000258</f>
        <v>0</v>
      </c>
      <c r="N271" s="10"/>
      <c r="O271" s="3"/>
      <c r="P271" s="483"/>
      <c r="Q271" s="51" t="s">
        <v>341</v>
      </c>
      <c r="R271" s="3"/>
      <c r="S271" s="329">
        <f t="shared" si="23"/>
        <v>0</v>
      </c>
      <c r="T271" s="327">
        <f t="shared" si="24"/>
        <v>0</v>
      </c>
      <c r="U271" s="326">
        <f>T271*係数!$I$30</f>
        <v>0</v>
      </c>
      <c r="V271" s="326">
        <f>T271*係数!$C$30*0.0000258</f>
        <v>0</v>
      </c>
      <c r="W271" s="282">
        <f t="shared" si="25"/>
        <v>0</v>
      </c>
      <c r="X271" s="337">
        <f t="shared" si="26"/>
        <v>0</v>
      </c>
      <c r="Y271" s="244">
        <f t="shared" si="27"/>
        <v>0</v>
      </c>
    </row>
    <row r="272" spans="2:25">
      <c r="B272" s="59" t="s">
        <v>551</v>
      </c>
      <c r="C272" s="10"/>
      <c r="D272" s="3"/>
      <c r="E272" s="483"/>
      <c r="F272" s="35"/>
      <c r="G272" s="35"/>
      <c r="H272" s="51" t="s">
        <v>341</v>
      </c>
      <c r="I272" s="3"/>
      <c r="J272" s="331">
        <f t="shared" si="28"/>
        <v>0</v>
      </c>
      <c r="K272" s="331">
        <f t="shared" si="22"/>
        <v>0</v>
      </c>
      <c r="L272" s="326">
        <f>K272*係数!$I$30</f>
        <v>0</v>
      </c>
      <c r="M272" s="326">
        <f>K272*係数!$C$30*0.0000258</f>
        <v>0</v>
      </c>
      <c r="N272" s="10"/>
      <c r="O272" s="3"/>
      <c r="P272" s="483"/>
      <c r="Q272" s="51" t="s">
        <v>341</v>
      </c>
      <c r="R272" s="3"/>
      <c r="S272" s="329">
        <f t="shared" si="23"/>
        <v>0</v>
      </c>
      <c r="T272" s="327">
        <f t="shared" si="24"/>
        <v>0</v>
      </c>
      <c r="U272" s="326">
        <f>T272*係数!$I$30</f>
        <v>0</v>
      </c>
      <c r="V272" s="326">
        <f>T272*係数!$C$30*0.0000258</f>
        <v>0</v>
      </c>
      <c r="W272" s="282">
        <f t="shared" si="25"/>
        <v>0</v>
      </c>
      <c r="X272" s="337">
        <f t="shared" si="26"/>
        <v>0</v>
      </c>
      <c r="Y272" s="244">
        <f t="shared" si="27"/>
        <v>0</v>
      </c>
    </row>
    <row r="273" spans="2:25">
      <c r="B273" s="59" t="s">
        <v>552</v>
      </c>
      <c r="C273" s="10"/>
      <c r="D273" s="3"/>
      <c r="E273" s="483"/>
      <c r="F273" s="35"/>
      <c r="G273" s="35"/>
      <c r="H273" s="51" t="s">
        <v>341</v>
      </c>
      <c r="I273" s="3"/>
      <c r="J273" s="331">
        <f t="shared" si="28"/>
        <v>0</v>
      </c>
      <c r="K273" s="331">
        <f t="shared" si="22"/>
        <v>0</v>
      </c>
      <c r="L273" s="326">
        <f>K273*係数!$I$30</f>
        <v>0</v>
      </c>
      <c r="M273" s="326">
        <f>K273*係数!$C$30*0.0000258</f>
        <v>0</v>
      </c>
      <c r="N273" s="10"/>
      <c r="O273" s="3"/>
      <c r="P273" s="483"/>
      <c r="Q273" s="51" t="s">
        <v>341</v>
      </c>
      <c r="R273" s="3"/>
      <c r="S273" s="329">
        <f t="shared" si="23"/>
        <v>0</v>
      </c>
      <c r="T273" s="327">
        <f t="shared" si="24"/>
        <v>0</v>
      </c>
      <c r="U273" s="326">
        <f>T273*係数!$I$30</f>
        <v>0</v>
      </c>
      <c r="V273" s="326">
        <f>T273*係数!$C$30*0.0000258</f>
        <v>0</v>
      </c>
      <c r="W273" s="282">
        <f t="shared" si="25"/>
        <v>0</v>
      </c>
      <c r="X273" s="337">
        <f t="shared" si="26"/>
        <v>0</v>
      </c>
      <c r="Y273" s="244">
        <f t="shared" si="27"/>
        <v>0</v>
      </c>
    </row>
    <row r="274" spans="2:25">
      <c r="B274" s="59" t="s">
        <v>553</v>
      </c>
      <c r="C274" s="10"/>
      <c r="D274" s="3"/>
      <c r="E274" s="483"/>
      <c r="F274" s="35"/>
      <c r="G274" s="35"/>
      <c r="H274" s="51" t="s">
        <v>341</v>
      </c>
      <c r="I274" s="3"/>
      <c r="J274" s="331">
        <f t="shared" si="28"/>
        <v>0</v>
      </c>
      <c r="K274" s="331">
        <f t="shared" si="22"/>
        <v>0</v>
      </c>
      <c r="L274" s="326">
        <f>K274*係数!$I$30</f>
        <v>0</v>
      </c>
      <c r="M274" s="326">
        <f>K274*係数!$C$30*0.0000258</f>
        <v>0</v>
      </c>
      <c r="N274" s="10"/>
      <c r="O274" s="3"/>
      <c r="P274" s="483"/>
      <c r="Q274" s="51" t="s">
        <v>341</v>
      </c>
      <c r="R274" s="3"/>
      <c r="S274" s="329">
        <f t="shared" si="23"/>
        <v>0</v>
      </c>
      <c r="T274" s="327">
        <f t="shared" si="24"/>
        <v>0</v>
      </c>
      <c r="U274" s="326">
        <f>T274*係数!$I$30</f>
        <v>0</v>
      </c>
      <c r="V274" s="326">
        <f>T274*係数!$C$30*0.0000258</f>
        <v>0</v>
      </c>
      <c r="W274" s="282">
        <f t="shared" si="25"/>
        <v>0</v>
      </c>
      <c r="X274" s="337">
        <f t="shared" si="26"/>
        <v>0</v>
      </c>
      <c r="Y274" s="244">
        <f t="shared" si="27"/>
        <v>0</v>
      </c>
    </row>
    <row r="275" spans="2:25">
      <c r="B275" s="59" t="s">
        <v>554</v>
      </c>
      <c r="C275" s="10"/>
      <c r="D275" s="3"/>
      <c r="E275" s="483"/>
      <c r="F275" s="35"/>
      <c r="G275" s="35"/>
      <c r="H275" s="51" t="s">
        <v>341</v>
      </c>
      <c r="I275" s="3"/>
      <c r="J275" s="331">
        <f t="shared" si="28"/>
        <v>0</v>
      </c>
      <c r="K275" s="331">
        <f t="shared" si="22"/>
        <v>0</v>
      </c>
      <c r="L275" s="326">
        <f>K275*係数!$I$30</f>
        <v>0</v>
      </c>
      <c r="M275" s="326">
        <f>K275*係数!$C$30*0.0000258</f>
        <v>0</v>
      </c>
      <c r="N275" s="10"/>
      <c r="O275" s="3"/>
      <c r="P275" s="483"/>
      <c r="Q275" s="51" t="s">
        <v>341</v>
      </c>
      <c r="R275" s="3"/>
      <c r="S275" s="329">
        <f t="shared" si="23"/>
        <v>0</v>
      </c>
      <c r="T275" s="327">
        <f t="shared" si="24"/>
        <v>0</v>
      </c>
      <c r="U275" s="326">
        <f>T275*係数!$I$30</f>
        <v>0</v>
      </c>
      <c r="V275" s="326">
        <f>T275*係数!$C$30*0.0000258</f>
        <v>0</v>
      </c>
      <c r="W275" s="282">
        <f t="shared" si="25"/>
        <v>0</v>
      </c>
      <c r="X275" s="337">
        <f t="shared" si="26"/>
        <v>0</v>
      </c>
      <c r="Y275" s="244">
        <f t="shared" si="27"/>
        <v>0</v>
      </c>
    </row>
    <row r="276" spans="2:25">
      <c r="B276" s="59" t="s">
        <v>555</v>
      </c>
      <c r="C276" s="10"/>
      <c r="D276" s="3"/>
      <c r="E276" s="483"/>
      <c r="F276" s="35"/>
      <c r="G276" s="35"/>
      <c r="H276" s="51" t="s">
        <v>341</v>
      </c>
      <c r="I276" s="3"/>
      <c r="J276" s="331">
        <f t="shared" si="28"/>
        <v>0</v>
      </c>
      <c r="K276" s="331">
        <f t="shared" si="22"/>
        <v>0</v>
      </c>
      <c r="L276" s="326">
        <f>K276*係数!$I$30</f>
        <v>0</v>
      </c>
      <c r="M276" s="326">
        <f>K276*係数!$C$30*0.0000258</f>
        <v>0</v>
      </c>
      <c r="N276" s="10"/>
      <c r="O276" s="3"/>
      <c r="P276" s="483"/>
      <c r="Q276" s="51" t="s">
        <v>341</v>
      </c>
      <c r="R276" s="3"/>
      <c r="S276" s="329">
        <f t="shared" si="23"/>
        <v>0</v>
      </c>
      <c r="T276" s="327">
        <f t="shared" si="24"/>
        <v>0</v>
      </c>
      <c r="U276" s="326">
        <f>T276*係数!$I$30</f>
        <v>0</v>
      </c>
      <c r="V276" s="326">
        <f>T276*係数!$C$30*0.0000258</f>
        <v>0</v>
      </c>
      <c r="W276" s="282">
        <f t="shared" si="25"/>
        <v>0</v>
      </c>
      <c r="X276" s="337">
        <f t="shared" si="26"/>
        <v>0</v>
      </c>
      <c r="Y276" s="244">
        <f t="shared" si="27"/>
        <v>0</v>
      </c>
    </row>
    <row r="277" spans="2:25">
      <c r="B277" s="59" t="s">
        <v>556</v>
      </c>
      <c r="C277" s="10"/>
      <c r="D277" s="3"/>
      <c r="E277" s="483"/>
      <c r="F277" s="35"/>
      <c r="G277" s="35"/>
      <c r="H277" s="51" t="s">
        <v>341</v>
      </c>
      <c r="I277" s="3"/>
      <c r="J277" s="331">
        <f t="shared" si="28"/>
        <v>0</v>
      </c>
      <c r="K277" s="331">
        <f t="shared" ref="K277:K340" si="29">E277*D277*J277/1000</f>
        <v>0</v>
      </c>
      <c r="L277" s="326">
        <f>K277*係数!$I$30</f>
        <v>0</v>
      </c>
      <c r="M277" s="326">
        <f>K277*係数!$C$30*0.0000258</f>
        <v>0</v>
      </c>
      <c r="N277" s="10"/>
      <c r="O277" s="3"/>
      <c r="P277" s="483"/>
      <c r="Q277" s="51" t="s">
        <v>341</v>
      </c>
      <c r="R277" s="3"/>
      <c r="S277" s="329">
        <f t="shared" ref="S277:S340" si="30">IF(Q277="○",F277*G277*R277/100,F277*G277)</f>
        <v>0</v>
      </c>
      <c r="T277" s="327">
        <f t="shared" ref="T277:T340" si="31">P277*O277*S277/1000</f>
        <v>0</v>
      </c>
      <c r="U277" s="326">
        <f>T277*係数!$I$30</f>
        <v>0</v>
      </c>
      <c r="V277" s="326">
        <f>T277*係数!$C$30*0.0000258</f>
        <v>0</v>
      </c>
      <c r="W277" s="282">
        <f t="shared" ref="W277:W340" si="32">K277-T277</f>
        <v>0</v>
      </c>
      <c r="X277" s="337">
        <f t="shared" ref="X277:X340" si="33">L277-U277</f>
        <v>0</v>
      </c>
      <c r="Y277" s="244">
        <f t="shared" ref="Y277:Y340" si="34">M277-V277</f>
        <v>0</v>
      </c>
    </row>
    <row r="278" spans="2:25">
      <c r="B278" s="59" t="s">
        <v>557</v>
      </c>
      <c r="C278" s="10"/>
      <c r="D278" s="3"/>
      <c r="E278" s="483"/>
      <c r="F278" s="35"/>
      <c r="G278" s="35"/>
      <c r="H278" s="51" t="s">
        <v>341</v>
      </c>
      <c r="I278" s="3"/>
      <c r="J278" s="331">
        <f t="shared" ref="J278:J341" si="35">IF(H278="○",F278*G278*I278/100,F278*G278)</f>
        <v>0</v>
      </c>
      <c r="K278" s="331">
        <f t="shared" si="29"/>
        <v>0</v>
      </c>
      <c r="L278" s="326">
        <f>K278*係数!$I$30</f>
        <v>0</v>
      </c>
      <c r="M278" s="326">
        <f>K278*係数!$C$30*0.0000258</f>
        <v>0</v>
      </c>
      <c r="N278" s="10"/>
      <c r="O278" s="3"/>
      <c r="P278" s="483"/>
      <c r="Q278" s="51" t="s">
        <v>341</v>
      </c>
      <c r="R278" s="3"/>
      <c r="S278" s="329">
        <f t="shared" si="30"/>
        <v>0</v>
      </c>
      <c r="T278" s="327">
        <f t="shared" si="31"/>
        <v>0</v>
      </c>
      <c r="U278" s="326">
        <f>T278*係数!$I$30</f>
        <v>0</v>
      </c>
      <c r="V278" s="326">
        <f>T278*係数!$C$30*0.0000258</f>
        <v>0</v>
      </c>
      <c r="W278" s="282">
        <f t="shared" si="32"/>
        <v>0</v>
      </c>
      <c r="X278" s="337">
        <f t="shared" si="33"/>
        <v>0</v>
      </c>
      <c r="Y278" s="244">
        <f t="shared" si="34"/>
        <v>0</v>
      </c>
    </row>
    <row r="279" spans="2:25">
      <c r="B279" s="59" t="s">
        <v>558</v>
      </c>
      <c r="C279" s="10"/>
      <c r="D279" s="3"/>
      <c r="E279" s="483"/>
      <c r="F279" s="35"/>
      <c r="G279" s="35"/>
      <c r="H279" s="51" t="s">
        <v>341</v>
      </c>
      <c r="I279" s="3"/>
      <c r="J279" s="331">
        <f t="shared" si="35"/>
        <v>0</v>
      </c>
      <c r="K279" s="331">
        <f t="shared" si="29"/>
        <v>0</v>
      </c>
      <c r="L279" s="326">
        <f>K279*係数!$I$30</f>
        <v>0</v>
      </c>
      <c r="M279" s="326">
        <f>K279*係数!$C$30*0.0000258</f>
        <v>0</v>
      </c>
      <c r="N279" s="10"/>
      <c r="O279" s="3"/>
      <c r="P279" s="483"/>
      <c r="Q279" s="51" t="s">
        <v>341</v>
      </c>
      <c r="R279" s="3"/>
      <c r="S279" s="329">
        <f t="shared" si="30"/>
        <v>0</v>
      </c>
      <c r="T279" s="327">
        <f t="shared" si="31"/>
        <v>0</v>
      </c>
      <c r="U279" s="326">
        <f>T279*係数!$I$30</f>
        <v>0</v>
      </c>
      <c r="V279" s="326">
        <f>T279*係数!$C$30*0.0000258</f>
        <v>0</v>
      </c>
      <c r="W279" s="282">
        <f t="shared" si="32"/>
        <v>0</v>
      </c>
      <c r="X279" s="337">
        <f t="shared" si="33"/>
        <v>0</v>
      </c>
      <c r="Y279" s="244">
        <f t="shared" si="34"/>
        <v>0</v>
      </c>
    </row>
    <row r="280" spans="2:25">
      <c r="B280" s="59" t="s">
        <v>559</v>
      </c>
      <c r="C280" s="10"/>
      <c r="D280" s="3"/>
      <c r="E280" s="483"/>
      <c r="F280" s="35"/>
      <c r="G280" s="35"/>
      <c r="H280" s="51" t="s">
        <v>341</v>
      </c>
      <c r="I280" s="3"/>
      <c r="J280" s="331">
        <f t="shared" si="35"/>
        <v>0</v>
      </c>
      <c r="K280" s="331">
        <f t="shared" si="29"/>
        <v>0</v>
      </c>
      <c r="L280" s="326">
        <f>K280*係数!$I$30</f>
        <v>0</v>
      </c>
      <c r="M280" s="326">
        <f>K280*係数!$C$30*0.0000258</f>
        <v>0</v>
      </c>
      <c r="N280" s="10"/>
      <c r="O280" s="3"/>
      <c r="P280" s="483"/>
      <c r="Q280" s="51" t="s">
        <v>341</v>
      </c>
      <c r="R280" s="3"/>
      <c r="S280" s="329">
        <f t="shared" si="30"/>
        <v>0</v>
      </c>
      <c r="T280" s="327">
        <f t="shared" si="31"/>
        <v>0</v>
      </c>
      <c r="U280" s="326">
        <f>T280*係数!$I$30</f>
        <v>0</v>
      </c>
      <c r="V280" s="326">
        <f>T280*係数!$C$30*0.0000258</f>
        <v>0</v>
      </c>
      <c r="W280" s="282">
        <f t="shared" si="32"/>
        <v>0</v>
      </c>
      <c r="X280" s="337">
        <f t="shared" si="33"/>
        <v>0</v>
      </c>
      <c r="Y280" s="244">
        <f t="shared" si="34"/>
        <v>0</v>
      </c>
    </row>
    <row r="281" spans="2:25">
      <c r="B281" s="59" t="s">
        <v>560</v>
      </c>
      <c r="C281" s="10"/>
      <c r="D281" s="3"/>
      <c r="E281" s="483"/>
      <c r="F281" s="35"/>
      <c r="G281" s="35"/>
      <c r="H281" s="51" t="s">
        <v>341</v>
      </c>
      <c r="I281" s="3"/>
      <c r="J281" s="331">
        <f t="shared" si="35"/>
        <v>0</v>
      </c>
      <c r="K281" s="331">
        <f t="shared" si="29"/>
        <v>0</v>
      </c>
      <c r="L281" s="326">
        <f>K281*係数!$I$30</f>
        <v>0</v>
      </c>
      <c r="M281" s="326">
        <f>K281*係数!$C$30*0.0000258</f>
        <v>0</v>
      </c>
      <c r="N281" s="10"/>
      <c r="O281" s="3"/>
      <c r="P281" s="483"/>
      <c r="Q281" s="51" t="s">
        <v>341</v>
      </c>
      <c r="R281" s="3"/>
      <c r="S281" s="329">
        <f t="shared" si="30"/>
        <v>0</v>
      </c>
      <c r="T281" s="327">
        <f t="shared" si="31"/>
        <v>0</v>
      </c>
      <c r="U281" s="326">
        <f>T281*係数!$I$30</f>
        <v>0</v>
      </c>
      <c r="V281" s="326">
        <f>T281*係数!$C$30*0.0000258</f>
        <v>0</v>
      </c>
      <c r="W281" s="282">
        <f t="shared" si="32"/>
        <v>0</v>
      </c>
      <c r="X281" s="337">
        <f t="shared" si="33"/>
        <v>0</v>
      </c>
      <c r="Y281" s="244">
        <f t="shared" si="34"/>
        <v>0</v>
      </c>
    </row>
    <row r="282" spans="2:25">
      <c r="B282" s="59" t="s">
        <v>561</v>
      </c>
      <c r="C282" s="10"/>
      <c r="D282" s="3"/>
      <c r="E282" s="483"/>
      <c r="F282" s="35"/>
      <c r="G282" s="35"/>
      <c r="H282" s="51" t="s">
        <v>341</v>
      </c>
      <c r="I282" s="3"/>
      <c r="J282" s="331">
        <f t="shared" si="35"/>
        <v>0</v>
      </c>
      <c r="K282" s="331">
        <f t="shared" si="29"/>
        <v>0</v>
      </c>
      <c r="L282" s="326">
        <f>K282*係数!$I$30</f>
        <v>0</v>
      </c>
      <c r="M282" s="326">
        <f>K282*係数!$C$30*0.0000258</f>
        <v>0</v>
      </c>
      <c r="N282" s="10"/>
      <c r="O282" s="3"/>
      <c r="P282" s="483"/>
      <c r="Q282" s="51" t="s">
        <v>341</v>
      </c>
      <c r="R282" s="3"/>
      <c r="S282" s="329">
        <f t="shared" si="30"/>
        <v>0</v>
      </c>
      <c r="T282" s="327">
        <f t="shared" si="31"/>
        <v>0</v>
      </c>
      <c r="U282" s="326">
        <f>T282*係数!$I$30</f>
        <v>0</v>
      </c>
      <c r="V282" s="326">
        <f>T282*係数!$C$30*0.0000258</f>
        <v>0</v>
      </c>
      <c r="W282" s="282">
        <f t="shared" si="32"/>
        <v>0</v>
      </c>
      <c r="X282" s="337">
        <f t="shared" si="33"/>
        <v>0</v>
      </c>
      <c r="Y282" s="244">
        <f t="shared" si="34"/>
        <v>0</v>
      </c>
    </row>
    <row r="283" spans="2:25">
      <c r="B283" s="59" t="s">
        <v>562</v>
      </c>
      <c r="C283" s="10"/>
      <c r="D283" s="3"/>
      <c r="E283" s="483"/>
      <c r="F283" s="35"/>
      <c r="G283" s="35"/>
      <c r="H283" s="51" t="s">
        <v>341</v>
      </c>
      <c r="I283" s="3"/>
      <c r="J283" s="331">
        <f t="shared" si="35"/>
        <v>0</v>
      </c>
      <c r="K283" s="331">
        <f t="shared" si="29"/>
        <v>0</v>
      </c>
      <c r="L283" s="326">
        <f>K283*係数!$I$30</f>
        <v>0</v>
      </c>
      <c r="M283" s="326">
        <f>K283*係数!$C$30*0.0000258</f>
        <v>0</v>
      </c>
      <c r="N283" s="10"/>
      <c r="O283" s="3"/>
      <c r="P283" s="483"/>
      <c r="Q283" s="51" t="s">
        <v>341</v>
      </c>
      <c r="R283" s="3"/>
      <c r="S283" s="329">
        <f t="shared" si="30"/>
        <v>0</v>
      </c>
      <c r="T283" s="327">
        <f t="shared" si="31"/>
        <v>0</v>
      </c>
      <c r="U283" s="326">
        <f>T283*係数!$I$30</f>
        <v>0</v>
      </c>
      <c r="V283" s="326">
        <f>T283*係数!$C$30*0.0000258</f>
        <v>0</v>
      </c>
      <c r="W283" s="282">
        <f t="shared" si="32"/>
        <v>0</v>
      </c>
      <c r="X283" s="337">
        <f t="shared" si="33"/>
        <v>0</v>
      </c>
      <c r="Y283" s="244">
        <f t="shared" si="34"/>
        <v>0</v>
      </c>
    </row>
    <row r="284" spans="2:25">
      <c r="B284" s="59" t="s">
        <v>563</v>
      </c>
      <c r="C284" s="10"/>
      <c r="D284" s="3"/>
      <c r="E284" s="483"/>
      <c r="F284" s="35"/>
      <c r="G284" s="35"/>
      <c r="H284" s="51" t="s">
        <v>341</v>
      </c>
      <c r="I284" s="3"/>
      <c r="J284" s="331">
        <f t="shared" si="35"/>
        <v>0</v>
      </c>
      <c r="K284" s="331">
        <f t="shared" si="29"/>
        <v>0</v>
      </c>
      <c r="L284" s="326">
        <f>K284*係数!$I$30</f>
        <v>0</v>
      </c>
      <c r="M284" s="326">
        <f>K284*係数!$C$30*0.0000258</f>
        <v>0</v>
      </c>
      <c r="N284" s="10"/>
      <c r="O284" s="3"/>
      <c r="P284" s="483"/>
      <c r="Q284" s="51" t="s">
        <v>341</v>
      </c>
      <c r="R284" s="3"/>
      <c r="S284" s="329">
        <f t="shared" si="30"/>
        <v>0</v>
      </c>
      <c r="T284" s="327">
        <f t="shared" si="31"/>
        <v>0</v>
      </c>
      <c r="U284" s="326">
        <f>T284*係数!$I$30</f>
        <v>0</v>
      </c>
      <c r="V284" s="326">
        <f>T284*係数!$C$30*0.0000258</f>
        <v>0</v>
      </c>
      <c r="W284" s="282">
        <f t="shared" si="32"/>
        <v>0</v>
      </c>
      <c r="X284" s="337">
        <f t="shared" si="33"/>
        <v>0</v>
      </c>
      <c r="Y284" s="244">
        <f t="shared" si="34"/>
        <v>0</v>
      </c>
    </row>
    <row r="285" spans="2:25">
      <c r="B285" s="59" t="s">
        <v>564</v>
      </c>
      <c r="C285" s="10"/>
      <c r="D285" s="3"/>
      <c r="E285" s="483"/>
      <c r="F285" s="35"/>
      <c r="G285" s="35"/>
      <c r="H285" s="51" t="s">
        <v>341</v>
      </c>
      <c r="I285" s="3"/>
      <c r="J285" s="331">
        <f t="shared" si="35"/>
        <v>0</v>
      </c>
      <c r="K285" s="331">
        <f t="shared" si="29"/>
        <v>0</v>
      </c>
      <c r="L285" s="326">
        <f>K285*係数!$I$30</f>
        <v>0</v>
      </c>
      <c r="M285" s="326">
        <f>K285*係数!$C$30*0.0000258</f>
        <v>0</v>
      </c>
      <c r="N285" s="10"/>
      <c r="O285" s="3"/>
      <c r="P285" s="483"/>
      <c r="Q285" s="51" t="s">
        <v>341</v>
      </c>
      <c r="R285" s="3"/>
      <c r="S285" s="329">
        <f t="shared" si="30"/>
        <v>0</v>
      </c>
      <c r="T285" s="327">
        <f t="shared" si="31"/>
        <v>0</v>
      </c>
      <c r="U285" s="326">
        <f>T285*係数!$I$30</f>
        <v>0</v>
      </c>
      <c r="V285" s="326">
        <f>T285*係数!$C$30*0.0000258</f>
        <v>0</v>
      </c>
      <c r="W285" s="282">
        <f t="shared" si="32"/>
        <v>0</v>
      </c>
      <c r="X285" s="337">
        <f t="shared" si="33"/>
        <v>0</v>
      </c>
      <c r="Y285" s="244">
        <f t="shared" si="34"/>
        <v>0</v>
      </c>
    </row>
    <row r="286" spans="2:25">
      <c r="B286" s="59" t="s">
        <v>565</v>
      </c>
      <c r="C286" s="10"/>
      <c r="D286" s="3"/>
      <c r="E286" s="483"/>
      <c r="F286" s="35"/>
      <c r="G286" s="35"/>
      <c r="H286" s="51" t="s">
        <v>341</v>
      </c>
      <c r="I286" s="3"/>
      <c r="J286" s="331">
        <f t="shared" si="35"/>
        <v>0</v>
      </c>
      <c r="K286" s="331">
        <f t="shared" si="29"/>
        <v>0</v>
      </c>
      <c r="L286" s="326">
        <f>K286*係数!$I$30</f>
        <v>0</v>
      </c>
      <c r="M286" s="326">
        <f>K286*係数!$C$30*0.0000258</f>
        <v>0</v>
      </c>
      <c r="N286" s="10"/>
      <c r="O286" s="3"/>
      <c r="P286" s="483"/>
      <c r="Q286" s="51" t="s">
        <v>341</v>
      </c>
      <c r="R286" s="3"/>
      <c r="S286" s="329">
        <f t="shared" si="30"/>
        <v>0</v>
      </c>
      <c r="T286" s="327">
        <f t="shared" si="31"/>
        <v>0</v>
      </c>
      <c r="U286" s="326">
        <f>T286*係数!$I$30</f>
        <v>0</v>
      </c>
      <c r="V286" s="326">
        <f>T286*係数!$C$30*0.0000258</f>
        <v>0</v>
      </c>
      <c r="W286" s="282">
        <f t="shared" si="32"/>
        <v>0</v>
      </c>
      <c r="X286" s="337">
        <f t="shared" si="33"/>
        <v>0</v>
      </c>
      <c r="Y286" s="244">
        <f t="shared" si="34"/>
        <v>0</v>
      </c>
    </row>
    <row r="287" spans="2:25">
      <c r="B287" s="59" t="s">
        <v>566</v>
      </c>
      <c r="C287" s="10"/>
      <c r="D287" s="3"/>
      <c r="E287" s="483"/>
      <c r="F287" s="35"/>
      <c r="G287" s="35"/>
      <c r="H287" s="51" t="s">
        <v>341</v>
      </c>
      <c r="I287" s="3"/>
      <c r="J287" s="331">
        <f t="shared" si="35"/>
        <v>0</v>
      </c>
      <c r="K287" s="331">
        <f t="shared" si="29"/>
        <v>0</v>
      </c>
      <c r="L287" s="326">
        <f>K287*係数!$I$30</f>
        <v>0</v>
      </c>
      <c r="M287" s="326">
        <f>K287*係数!$C$30*0.0000258</f>
        <v>0</v>
      </c>
      <c r="N287" s="10"/>
      <c r="O287" s="3"/>
      <c r="P287" s="483"/>
      <c r="Q287" s="51" t="s">
        <v>341</v>
      </c>
      <c r="R287" s="3"/>
      <c r="S287" s="329">
        <f t="shared" si="30"/>
        <v>0</v>
      </c>
      <c r="T287" s="327">
        <f t="shared" si="31"/>
        <v>0</v>
      </c>
      <c r="U287" s="326">
        <f>T287*係数!$I$30</f>
        <v>0</v>
      </c>
      <c r="V287" s="326">
        <f>T287*係数!$C$30*0.0000258</f>
        <v>0</v>
      </c>
      <c r="W287" s="282">
        <f t="shared" si="32"/>
        <v>0</v>
      </c>
      <c r="X287" s="337">
        <f t="shared" si="33"/>
        <v>0</v>
      </c>
      <c r="Y287" s="244">
        <f t="shared" si="34"/>
        <v>0</v>
      </c>
    </row>
    <row r="288" spans="2:25">
      <c r="B288" s="59" t="s">
        <v>567</v>
      </c>
      <c r="C288" s="10"/>
      <c r="D288" s="3"/>
      <c r="E288" s="483"/>
      <c r="F288" s="35"/>
      <c r="G288" s="35"/>
      <c r="H288" s="51" t="s">
        <v>341</v>
      </c>
      <c r="I288" s="3"/>
      <c r="J288" s="331">
        <f t="shared" si="35"/>
        <v>0</v>
      </c>
      <c r="K288" s="331">
        <f t="shared" si="29"/>
        <v>0</v>
      </c>
      <c r="L288" s="326">
        <f>K288*係数!$I$30</f>
        <v>0</v>
      </c>
      <c r="M288" s="326">
        <f>K288*係数!$C$30*0.0000258</f>
        <v>0</v>
      </c>
      <c r="N288" s="10"/>
      <c r="O288" s="3"/>
      <c r="P288" s="483"/>
      <c r="Q288" s="51" t="s">
        <v>341</v>
      </c>
      <c r="R288" s="3"/>
      <c r="S288" s="329">
        <f t="shared" si="30"/>
        <v>0</v>
      </c>
      <c r="T288" s="327">
        <f t="shared" si="31"/>
        <v>0</v>
      </c>
      <c r="U288" s="326">
        <f>T288*係数!$I$30</f>
        <v>0</v>
      </c>
      <c r="V288" s="326">
        <f>T288*係数!$C$30*0.0000258</f>
        <v>0</v>
      </c>
      <c r="W288" s="282">
        <f t="shared" si="32"/>
        <v>0</v>
      </c>
      <c r="X288" s="337">
        <f t="shared" si="33"/>
        <v>0</v>
      </c>
      <c r="Y288" s="244">
        <f t="shared" si="34"/>
        <v>0</v>
      </c>
    </row>
    <row r="289" spans="2:25">
      <c r="B289" s="59" t="s">
        <v>568</v>
      </c>
      <c r="C289" s="10"/>
      <c r="D289" s="3"/>
      <c r="E289" s="483"/>
      <c r="F289" s="35"/>
      <c r="G289" s="35"/>
      <c r="H289" s="51" t="s">
        <v>341</v>
      </c>
      <c r="I289" s="3"/>
      <c r="J289" s="331">
        <f t="shared" si="35"/>
        <v>0</v>
      </c>
      <c r="K289" s="331">
        <f t="shared" si="29"/>
        <v>0</v>
      </c>
      <c r="L289" s="326">
        <f>K289*係数!$I$30</f>
        <v>0</v>
      </c>
      <c r="M289" s="326">
        <f>K289*係数!$C$30*0.0000258</f>
        <v>0</v>
      </c>
      <c r="N289" s="10"/>
      <c r="O289" s="3"/>
      <c r="P289" s="483"/>
      <c r="Q289" s="51" t="s">
        <v>341</v>
      </c>
      <c r="R289" s="3"/>
      <c r="S289" s="329">
        <f t="shared" si="30"/>
        <v>0</v>
      </c>
      <c r="T289" s="327">
        <f t="shared" si="31"/>
        <v>0</v>
      </c>
      <c r="U289" s="326">
        <f>T289*係数!$I$30</f>
        <v>0</v>
      </c>
      <c r="V289" s="326">
        <f>T289*係数!$C$30*0.0000258</f>
        <v>0</v>
      </c>
      <c r="W289" s="282">
        <f t="shared" si="32"/>
        <v>0</v>
      </c>
      <c r="X289" s="337">
        <f t="shared" si="33"/>
        <v>0</v>
      </c>
      <c r="Y289" s="244">
        <f t="shared" si="34"/>
        <v>0</v>
      </c>
    </row>
    <row r="290" spans="2:25">
      <c r="B290" s="59" t="s">
        <v>569</v>
      </c>
      <c r="C290" s="10"/>
      <c r="D290" s="3"/>
      <c r="E290" s="483"/>
      <c r="F290" s="35"/>
      <c r="G290" s="35"/>
      <c r="H290" s="51" t="s">
        <v>341</v>
      </c>
      <c r="I290" s="3"/>
      <c r="J290" s="331">
        <f t="shared" si="35"/>
        <v>0</v>
      </c>
      <c r="K290" s="331">
        <f t="shared" si="29"/>
        <v>0</v>
      </c>
      <c r="L290" s="326">
        <f>K290*係数!$I$30</f>
        <v>0</v>
      </c>
      <c r="M290" s="326">
        <f>K290*係数!$C$30*0.0000258</f>
        <v>0</v>
      </c>
      <c r="N290" s="10"/>
      <c r="O290" s="3"/>
      <c r="P290" s="483"/>
      <c r="Q290" s="51" t="s">
        <v>341</v>
      </c>
      <c r="R290" s="3"/>
      <c r="S290" s="329">
        <f t="shared" si="30"/>
        <v>0</v>
      </c>
      <c r="T290" s="327">
        <f t="shared" si="31"/>
        <v>0</v>
      </c>
      <c r="U290" s="326">
        <f>T290*係数!$I$30</f>
        <v>0</v>
      </c>
      <c r="V290" s="326">
        <f>T290*係数!$C$30*0.0000258</f>
        <v>0</v>
      </c>
      <c r="W290" s="282">
        <f t="shared" si="32"/>
        <v>0</v>
      </c>
      <c r="X290" s="337">
        <f t="shared" si="33"/>
        <v>0</v>
      </c>
      <c r="Y290" s="244">
        <f t="shared" si="34"/>
        <v>0</v>
      </c>
    </row>
    <row r="291" spans="2:25">
      <c r="B291" s="59" t="s">
        <v>570</v>
      </c>
      <c r="C291" s="10"/>
      <c r="D291" s="3"/>
      <c r="E291" s="483"/>
      <c r="F291" s="35"/>
      <c r="G291" s="35"/>
      <c r="H291" s="51" t="s">
        <v>341</v>
      </c>
      <c r="I291" s="3"/>
      <c r="J291" s="331">
        <f t="shared" si="35"/>
        <v>0</v>
      </c>
      <c r="K291" s="331">
        <f t="shared" si="29"/>
        <v>0</v>
      </c>
      <c r="L291" s="326">
        <f>K291*係数!$I$30</f>
        <v>0</v>
      </c>
      <c r="M291" s="326">
        <f>K291*係数!$C$30*0.0000258</f>
        <v>0</v>
      </c>
      <c r="N291" s="10"/>
      <c r="O291" s="3"/>
      <c r="P291" s="483"/>
      <c r="Q291" s="51" t="s">
        <v>341</v>
      </c>
      <c r="R291" s="3"/>
      <c r="S291" s="329">
        <f t="shared" si="30"/>
        <v>0</v>
      </c>
      <c r="T291" s="327">
        <f t="shared" si="31"/>
        <v>0</v>
      </c>
      <c r="U291" s="326">
        <f>T291*係数!$I$30</f>
        <v>0</v>
      </c>
      <c r="V291" s="326">
        <f>T291*係数!$C$30*0.0000258</f>
        <v>0</v>
      </c>
      <c r="W291" s="282">
        <f t="shared" si="32"/>
        <v>0</v>
      </c>
      <c r="X291" s="337">
        <f t="shared" si="33"/>
        <v>0</v>
      </c>
      <c r="Y291" s="244">
        <f t="shared" si="34"/>
        <v>0</v>
      </c>
    </row>
    <row r="292" spans="2:25">
      <c r="B292" s="59" t="s">
        <v>571</v>
      </c>
      <c r="C292" s="10"/>
      <c r="D292" s="3"/>
      <c r="E292" s="483"/>
      <c r="F292" s="35"/>
      <c r="G292" s="35"/>
      <c r="H292" s="51" t="s">
        <v>341</v>
      </c>
      <c r="I292" s="3"/>
      <c r="J292" s="331">
        <f t="shared" si="35"/>
        <v>0</v>
      </c>
      <c r="K292" s="331">
        <f t="shared" si="29"/>
        <v>0</v>
      </c>
      <c r="L292" s="326">
        <f>K292*係数!$I$30</f>
        <v>0</v>
      </c>
      <c r="M292" s="326">
        <f>K292*係数!$C$30*0.0000258</f>
        <v>0</v>
      </c>
      <c r="N292" s="10"/>
      <c r="O292" s="3"/>
      <c r="P292" s="483"/>
      <c r="Q292" s="51" t="s">
        <v>341</v>
      </c>
      <c r="R292" s="3"/>
      <c r="S292" s="329">
        <f t="shared" si="30"/>
        <v>0</v>
      </c>
      <c r="T292" s="327">
        <f t="shared" si="31"/>
        <v>0</v>
      </c>
      <c r="U292" s="326">
        <f>T292*係数!$I$30</f>
        <v>0</v>
      </c>
      <c r="V292" s="326">
        <f>T292*係数!$C$30*0.0000258</f>
        <v>0</v>
      </c>
      <c r="W292" s="282">
        <f t="shared" si="32"/>
        <v>0</v>
      </c>
      <c r="X292" s="337">
        <f t="shared" si="33"/>
        <v>0</v>
      </c>
      <c r="Y292" s="244">
        <f t="shared" si="34"/>
        <v>0</v>
      </c>
    </row>
    <row r="293" spans="2:25">
      <c r="B293" s="59" t="s">
        <v>572</v>
      </c>
      <c r="C293" s="10"/>
      <c r="D293" s="3"/>
      <c r="E293" s="483"/>
      <c r="F293" s="35"/>
      <c r="G293" s="35"/>
      <c r="H293" s="51" t="s">
        <v>341</v>
      </c>
      <c r="I293" s="3"/>
      <c r="J293" s="331">
        <f t="shared" si="35"/>
        <v>0</v>
      </c>
      <c r="K293" s="331">
        <f t="shared" si="29"/>
        <v>0</v>
      </c>
      <c r="L293" s="326">
        <f>K293*係数!$I$30</f>
        <v>0</v>
      </c>
      <c r="M293" s="326">
        <f>K293*係数!$C$30*0.0000258</f>
        <v>0</v>
      </c>
      <c r="N293" s="10"/>
      <c r="O293" s="3"/>
      <c r="P293" s="483"/>
      <c r="Q293" s="51" t="s">
        <v>341</v>
      </c>
      <c r="R293" s="3"/>
      <c r="S293" s="329">
        <f t="shared" si="30"/>
        <v>0</v>
      </c>
      <c r="T293" s="327">
        <f t="shared" si="31"/>
        <v>0</v>
      </c>
      <c r="U293" s="326">
        <f>T293*係数!$I$30</f>
        <v>0</v>
      </c>
      <c r="V293" s="326">
        <f>T293*係数!$C$30*0.0000258</f>
        <v>0</v>
      </c>
      <c r="W293" s="282">
        <f t="shared" si="32"/>
        <v>0</v>
      </c>
      <c r="X293" s="337">
        <f t="shared" si="33"/>
        <v>0</v>
      </c>
      <c r="Y293" s="244">
        <f t="shared" si="34"/>
        <v>0</v>
      </c>
    </row>
    <row r="294" spans="2:25">
      <c r="B294" s="59" t="s">
        <v>573</v>
      </c>
      <c r="C294" s="10"/>
      <c r="D294" s="3"/>
      <c r="E294" s="483"/>
      <c r="F294" s="35"/>
      <c r="G294" s="35"/>
      <c r="H294" s="51" t="s">
        <v>341</v>
      </c>
      <c r="I294" s="3"/>
      <c r="J294" s="331">
        <f t="shared" si="35"/>
        <v>0</v>
      </c>
      <c r="K294" s="331">
        <f t="shared" si="29"/>
        <v>0</v>
      </c>
      <c r="L294" s="326">
        <f>K294*係数!$I$30</f>
        <v>0</v>
      </c>
      <c r="M294" s="326">
        <f>K294*係数!$C$30*0.0000258</f>
        <v>0</v>
      </c>
      <c r="N294" s="10"/>
      <c r="O294" s="3"/>
      <c r="P294" s="483"/>
      <c r="Q294" s="51" t="s">
        <v>341</v>
      </c>
      <c r="R294" s="3"/>
      <c r="S294" s="329">
        <f t="shared" si="30"/>
        <v>0</v>
      </c>
      <c r="T294" s="327">
        <f t="shared" si="31"/>
        <v>0</v>
      </c>
      <c r="U294" s="326">
        <f>T294*係数!$I$30</f>
        <v>0</v>
      </c>
      <c r="V294" s="326">
        <f>T294*係数!$C$30*0.0000258</f>
        <v>0</v>
      </c>
      <c r="W294" s="282">
        <f t="shared" si="32"/>
        <v>0</v>
      </c>
      <c r="X294" s="337">
        <f t="shared" si="33"/>
        <v>0</v>
      </c>
      <c r="Y294" s="244">
        <f t="shared" si="34"/>
        <v>0</v>
      </c>
    </row>
    <row r="295" spans="2:25">
      <c r="B295" s="59" t="s">
        <v>574</v>
      </c>
      <c r="C295" s="10"/>
      <c r="D295" s="3"/>
      <c r="E295" s="483"/>
      <c r="F295" s="35"/>
      <c r="G295" s="35"/>
      <c r="H295" s="51" t="s">
        <v>341</v>
      </c>
      <c r="I295" s="3"/>
      <c r="J295" s="331">
        <f t="shared" si="35"/>
        <v>0</v>
      </c>
      <c r="K295" s="331">
        <f t="shared" si="29"/>
        <v>0</v>
      </c>
      <c r="L295" s="326">
        <f>K295*係数!$I$30</f>
        <v>0</v>
      </c>
      <c r="M295" s="326">
        <f>K295*係数!$C$30*0.0000258</f>
        <v>0</v>
      </c>
      <c r="N295" s="10"/>
      <c r="O295" s="3"/>
      <c r="P295" s="483"/>
      <c r="Q295" s="51" t="s">
        <v>341</v>
      </c>
      <c r="R295" s="3"/>
      <c r="S295" s="329">
        <f t="shared" si="30"/>
        <v>0</v>
      </c>
      <c r="T295" s="327">
        <f t="shared" si="31"/>
        <v>0</v>
      </c>
      <c r="U295" s="326">
        <f>T295*係数!$I$30</f>
        <v>0</v>
      </c>
      <c r="V295" s="326">
        <f>T295*係数!$C$30*0.0000258</f>
        <v>0</v>
      </c>
      <c r="W295" s="282">
        <f t="shared" si="32"/>
        <v>0</v>
      </c>
      <c r="X295" s="337">
        <f t="shared" si="33"/>
        <v>0</v>
      </c>
      <c r="Y295" s="244">
        <f t="shared" si="34"/>
        <v>0</v>
      </c>
    </row>
    <row r="296" spans="2:25">
      <c r="B296" s="59" t="s">
        <v>575</v>
      </c>
      <c r="C296" s="10"/>
      <c r="D296" s="3"/>
      <c r="E296" s="483"/>
      <c r="F296" s="35"/>
      <c r="G296" s="35"/>
      <c r="H296" s="51" t="s">
        <v>341</v>
      </c>
      <c r="I296" s="3"/>
      <c r="J296" s="331">
        <f t="shared" si="35"/>
        <v>0</v>
      </c>
      <c r="K296" s="331">
        <f t="shared" si="29"/>
        <v>0</v>
      </c>
      <c r="L296" s="326">
        <f>K296*係数!$I$30</f>
        <v>0</v>
      </c>
      <c r="M296" s="326">
        <f>K296*係数!$C$30*0.0000258</f>
        <v>0</v>
      </c>
      <c r="N296" s="10"/>
      <c r="O296" s="3"/>
      <c r="P296" s="483"/>
      <c r="Q296" s="51" t="s">
        <v>341</v>
      </c>
      <c r="R296" s="3"/>
      <c r="S296" s="329">
        <f t="shared" si="30"/>
        <v>0</v>
      </c>
      <c r="T296" s="327">
        <f t="shared" si="31"/>
        <v>0</v>
      </c>
      <c r="U296" s="326">
        <f>T296*係数!$I$30</f>
        <v>0</v>
      </c>
      <c r="V296" s="326">
        <f>T296*係数!$C$30*0.0000258</f>
        <v>0</v>
      </c>
      <c r="W296" s="282">
        <f t="shared" si="32"/>
        <v>0</v>
      </c>
      <c r="X296" s="337">
        <f t="shared" si="33"/>
        <v>0</v>
      </c>
      <c r="Y296" s="244">
        <f t="shared" si="34"/>
        <v>0</v>
      </c>
    </row>
    <row r="297" spans="2:25">
      <c r="B297" s="59" t="s">
        <v>576</v>
      </c>
      <c r="C297" s="10"/>
      <c r="D297" s="3"/>
      <c r="E297" s="483"/>
      <c r="F297" s="35"/>
      <c r="G297" s="35"/>
      <c r="H297" s="51" t="s">
        <v>341</v>
      </c>
      <c r="I297" s="3"/>
      <c r="J297" s="331">
        <f t="shared" si="35"/>
        <v>0</v>
      </c>
      <c r="K297" s="331">
        <f t="shared" si="29"/>
        <v>0</v>
      </c>
      <c r="L297" s="326">
        <f>K297*係数!$I$30</f>
        <v>0</v>
      </c>
      <c r="M297" s="326">
        <f>K297*係数!$C$30*0.0000258</f>
        <v>0</v>
      </c>
      <c r="N297" s="10"/>
      <c r="O297" s="3"/>
      <c r="P297" s="483"/>
      <c r="Q297" s="51" t="s">
        <v>341</v>
      </c>
      <c r="R297" s="3"/>
      <c r="S297" s="329">
        <f t="shared" si="30"/>
        <v>0</v>
      </c>
      <c r="T297" s="327">
        <f t="shared" si="31"/>
        <v>0</v>
      </c>
      <c r="U297" s="326">
        <f>T297*係数!$I$30</f>
        <v>0</v>
      </c>
      <c r="V297" s="326">
        <f>T297*係数!$C$30*0.0000258</f>
        <v>0</v>
      </c>
      <c r="W297" s="282">
        <f t="shared" si="32"/>
        <v>0</v>
      </c>
      <c r="X297" s="337">
        <f t="shared" si="33"/>
        <v>0</v>
      </c>
      <c r="Y297" s="244">
        <f t="shared" si="34"/>
        <v>0</v>
      </c>
    </row>
    <row r="298" spans="2:25">
      <c r="B298" s="59" t="s">
        <v>577</v>
      </c>
      <c r="C298" s="10"/>
      <c r="D298" s="3"/>
      <c r="E298" s="483"/>
      <c r="F298" s="35"/>
      <c r="G298" s="35"/>
      <c r="H298" s="51" t="s">
        <v>341</v>
      </c>
      <c r="I298" s="3"/>
      <c r="J298" s="331">
        <f t="shared" si="35"/>
        <v>0</v>
      </c>
      <c r="K298" s="331">
        <f t="shared" si="29"/>
        <v>0</v>
      </c>
      <c r="L298" s="326">
        <f>K298*係数!$I$30</f>
        <v>0</v>
      </c>
      <c r="M298" s="326">
        <f>K298*係数!$C$30*0.0000258</f>
        <v>0</v>
      </c>
      <c r="N298" s="10"/>
      <c r="O298" s="3"/>
      <c r="P298" s="483"/>
      <c r="Q298" s="51" t="s">
        <v>341</v>
      </c>
      <c r="R298" s="3"/>
      <c r="S298" s="329">
        <f t="shared" si="30"/>
        <v>0</v>
      </c>
      <c r="T298" s="327">
        <f t="shared" si="31"/>
        <v>0</v>
      </c>
      <c r="U298" s="326">
        <f>T298*係数!$I$30</f>
        <v>0</v>
      </c>
      <c r="V298" s="326">
        <f>T298*係数!$C$30*0.0000258</f>
        <v>0</v>
      </c>
      <c r="W298" s="282">
        <f t="shared" si="32"/>
        <v>0</v>
      </c>
      <c r="X298" s="337">
        <f t="shared" si="33"/>
        <v>0</v>
      </c>
      <c r="Y298" s="244">
        <f t="shared" si="34"/>
        <v>0</v>
      </c>
    </row>
    <row r="299" spans="2:25">
      <c r="B299" s="59" t="s">
        <v>578</v>
      </c>
      <c r="C299" s="10"/>
      <c r="D299" s="3"/>
      <c r="E299" s="483"/>
      <c r="F299" s="35"/>
      <c r="G299" s="35"/>
      <c r="H299" s="51" t="s">
        <v>341</v>
      </c>
      <c r="I299" s="3"/>
      <c r="J299" s="331">
        <f t="shared" si="35"/>
        <v>0</v>
      </c>
      <c r="K299" s="331">
        <f t="shared" si="29"/>
        <v>0</v>
      </c>
      <c r="L299" s="326">
        <f>K299*係数!$I$30</f>
        <v>0</v>
      </c>
      <c r="M299" s="326">
        <f>K299*係数!$C$30*0.0000258</f>
        <v>0</v>
      </c>
      <c r="N299" s="10"/>
      <c r="O299" s="3"/>
      <c r="P299" s="483"/>
      <c r="Q299" s="51" t="s">
        <v>341</v>
      </c>
      <c r="R299" s="3"/>
      <c r="S299" s="329">
        <f t="shared" si="30"/>
        <v>0</v>
      </c>
      <c r="T299" s="327">
        <f t="shared" si="31"/>
        <v>0</v>
      </c>
      <c r="U299" s="326">
        <f>T299*係数!$I$30</f>
        <v>0</v>
      </c>
      <c r="V299" s="326">
        <f>T299*係数!$C$30*0.0000258</f>
        <v>0</v>
      </c>
      <c r="W299" s="282">
        <f t="shared" si="32"/>
        <v>0</v>
      </c>
      <c r="X299" s="337">
        <f t="shared" si="33"/>
        <v>0</v>
      </c>
      <c r="Y299" s="244">
        <f t="shared" si="34"/>
        <v>0</v>
      </c>
    </row>
    <row r="300" spans="2:25">
      <c r="B300" s="59" t="s">
        <v>579</v>
      </c>
      <c r="C300" s="10"/>
      <c r="D300" s="3"/>
      <c r="E300" s="483"/>
      <c r="F300" s="35"/>
      <c r="G300" s="35"/>
      <c r="H300" s="51" t="s">
        <v>341</v>
      </c>
      <c r="I300" s="3"/>
      <c r="J300" s="331">
        <f t="shared" si="35"/>
        <v>0</v>
      </c>
      <c r="K300" s="331">
        <f t="shared" si="29"/>
        <v>0</v>
      </c>
      <c r="L300" s="326">
        <f>K300*係数!$I$30</f>
        <v>0</v>
      </c>
      <c r="M300" s="326">
        <f>K300*係数!$C$30*0.0000258</f>
        <v>0</v>
      </c>
      <c r="N300" s="10"/>
      <c r="O300" s="3"/>
      <c r="P300" s="483"/>
      <c r="Q300" s="51" t="s">
        <v>341</v>
      </c>
      <c r="R300" s="3"/>
      <c r="S300" s="329">
        <f t="shared" si="30"/>
        <v>0</v>
      </c>
      <c r="T300" s="327">
        <f t="shared" si="31"/>
        <v>0</v>
      </c>
      <c r="U300" s="326">
        <f>T300*係数!$I$30</f>
        <v>0</v>
      </c>
      <c r="V300" s="326">
        <f>T300*係数!$C$30*0.0000258</f>
        <v>0</v>
      </c>
      <c r="W300" s="282">
        <f t="shared" si="32"/>
        <v>0</v>
      </c>
      <c r="X300" s="337">
        <f t="shared" si="33"/>
        <v>0</v>
      </c>
      <c r="Y300" s="244">
        <f t="shared" si="34"/>
        <v>0</v>
      </c>
    </row>
    <row r="301" spans="2:25">
      <c r="B301" s="59" t="s">
        <v>580</v>
      </c>
      <c r="C301" s="10"/>
      <c r="D301" s="3"/>
      <c r="E301" s="483"/>
      <c r="F301" s="35"/>
      <c r="G301" s="35"/>
      <c r="H301" s="51" t="s">
        <v>341</v>
      </c>
      <c r="I301" s="3"/>
      <c r="J301" s="331">
        <f t="shared" si="35"/>
        <v>0</v>
      </c>
      <c r="K301" s="331">
        <f t="shared" si="29"/>
        <v>0</v>
      </c>
      <c r="L301" s="326">
        <f>K301*係数!$I$30</f>
        <v>0</v>
      </c>
      <c r="M301" s="326">
        <f>K301*係数!$C$30*0.0000258</f>
        <v>0</v>
      </c>
      <c r="N301" s="10"/>
      <c r="O301" s="3"/>
      <c r="P301" s="483"/>
      <c r="Q301" s="51" t="s">
        <v>341</v>
      </c>
      <c r="R301" s="3"/>
      <c r="S301" s="329">
        <f t="shared" si="30"/>
        <v>0</v>
      </c>
      <c r="T301" s="327">
        <f t="shared" si="31"/>
        <v>0</v>
      </c>
      <c r="U301" s="326">
        <f>T301*係数!$I$30</f>
        <v>0</v>
      </c>
      <c r="V301" s="326">
        <f>T301*係数!$C$30*0.0000258</f>
        <v>0</v>
      </c>
      <c r="W301" s="282">
        <f t="shared" si="32"/>
        <v>0</v>
      </c>
      <c r="X301" s="337">
        <f t="shared" si="33"/>
        <v>0</v>
      </c>
      <c r="Y301" s="244">
        <f t="shared" si="34"/>
        <v>0</v>
      </c>
    </row>
    <row r="302" spans="2:25">
      <c r="B302" s="59" t="s">
        <v>581</v>
      </c>
      <c r="C302" s="10"/>
      <c r="D302" s="3"/>
      <c r="E302" s="483"/>
      <c r="F302" s="35"/>
      <c r="G302" s="35"/>
      <c r="H302" s="51" t="s">
        <v>341</v>
      </c>
      <c r="I302" s="3"/>
      <c r="J302" s="331">
        <f t="shared" si="35"/>
        <v>0</v>
      </c>
      <c r="K302" s="331">
        <f t="shared" si="29"/>
        <v>0</v>
      </c>
      <c r="L302" s="326">
        <f>K302*係数!$I$30</f>
        <v>0</v>
      </c>
      <c r="M302" s="326">
        <f>K302*係数!$C$30*0.0000258</f>
        <v>0</v>
      </c>
      <c r="N302" s="10"/>
      <c r="O302" s="3"/>
      <c r="P302" s="483"/>
      <c r="Q302" s="51" t="s">
        <v>341</v>
      </c>
      <c r="R302" s="3"/>
      <c r="S302" s="329">
        <f t="shared" si="30"/>
        <v>0</v>
      </c>
      <c r="T302" s="327">
        <f t="shared" si="31"/>
        <v>0</v>
      </c>
      <c r="U302" s="326">
        <f>T302*係数!$I$30</f>
        <v>0</v>
      </c>
      <c r="V302" s="326">
        <f>T302*係数!$C$30*0.0000258</f>
        <v>0</v>
      </c>
      <c r="W302" s="282">
        <f t="shared" si="32"/>
        <v>0</v>
      </c>
      <c r="X302" s="337">
        <f t="shared" si="33"/>
        <v>0</v>
      </c>
      <c r="Y302" s="244">
        <f t="shared" si="34"/>
        <v>0</v>
      </c>
    </row>
    <row r="303" spans="2:25">
      <c r="B303" s="59" t="s">
        <v>582</v>
      </c>
      <c r="C303" s="10"/>
      <c r="D303" s="3"/>
      <c r="E303" s="483"/>
      <c r="F303" s="35"/>
      <c r="G303" s="35"/>
      <c r="H303" s="51" t="s">
        <v>341</v>
      </c>
      <c r="I303" s="3"/>
      <c r="J303" s="331">
        <f t="shared" si="35"/>
        <v>0</v>
      </c>
      <c r="K303" s="331">
        <f t="shared" si="29"/>
        <v>0</v>
      </c>
      <c r="L303" s="326">
        <f>K303*係数!$I$30</f>
        <v>0</v>
      </c>
      <c r="M303" s="326">
        <f>K303*係数!$C$30*0.0000258</f>
        <v>0</v>
      </c>
      <c r="N303" s="10"/>
      <c r="O303" s="3"/>
      <c r="P303" s="483"/>
      <c r="Q303" s="51" t="s">
        <v>341</v>
      </c>
      <c r="R303" s="3"/>
      <c r="S303" s="329">
        <f t="shared" si="30"/>
        <v>0</v>
      </c>
      <c r="T303" s="327">
        <f t="shared" si="31"/>
        <v>0</v>
      </c>
      <c r="U303" s="326">
        <f>T303*係数!$I$30</f>
        <v>0</v>
      </c>
      <c r="V303" s="326">
        <f>T303*係数!$C$30*0.0000258</f>
        <v>0</v>
      </c>
      <c r="W303" s="282">
        <f t="shared" si="32"/>
        <v>0</v>
      </c>
      <c r="X303" s="337">
        <f t="shared" si="33"/>
        <v>0</v>
      </c>
      <c r="Y303" s="244">
        <f t="shared" si="34"/>
        <v>0</v>
      </c>
    </row>
    <row r="304" spans="2:25">
      <c r="B304" s="59" t="s">
        <v>583</v>
      </c>
      <c r="C304" s="10"/>
      <c r="D304" s="3"/>
      <c r="E304" s="483"/>
      <c r="F304" s="35"/>
      <c r="G304" s="35"/>
      <c r="H304" s="51" t="s">
        <v>341</v>
      </c>
      <c r="I304" s="3"/>
      <c r="J304" s="331">
        <f t="shared" si="35"/>
        <v>0</v>
      </c>
      <c r="K304" s="331">
        <f t="shared" si="29"/>
        <v>0</v>
      </c>
      <c r="L304" s="326">
        <f>K304*係数!$I$30</f>
        <v>0</v>
      </c>
      <c r="M304" s="326">
        <f>K304*係数!$C$30*0.0000258</f>
        <v>0</v>
      </c>
      <c r="N304" s="10"/>
      <c r="O304" s="3"/>
      <c r="P304" s="483"/>
      <c r="Q304" s="51" t="s">
        <v>341</v>
      </c>
      <c r="R304" s="3"/>
      <c r="S304" s="329">
        <f t="shared" si="30"/>
        <v>0</v>
      </c>
      <c r="T304" s="327">
        <f t="shared" si="31"/>
        <v>0</v>
      </c>
      <c r="U304" s="326">
        <f>T304*係数!$I$30</f>
        <v>0</v>
      </c>
      <c r="V304" s="326">
        <f>T304*係数!$C$30*0.0000258</f>
        <v>0</v>
      </c>
      <c r="W304" s="282">
        <f t="shared" si="32"/>
        <v>0</v>
      </c>
      <c r="X304" s="337">
        <f t="shared" si="33"/>
        <v>0</v>
      </c>
      <c r="Y304" s="244">
        <f t="shared" si="34"/>
        <v>0</v>
      </c>
    </row>
    <row r="305" spans="2:25">
      <c r="B305" s="59" t="s">
        <v>584</v>
      </c>
      <c r="C305" s="10"/>
      <c r="D305" s="3"/>
      <c r="E305" s="483"/>
      <c r="F305" s="35"/>
      <c r="G305" s="35"/>
      <c r="H305" s="51" t="s">
        <v>341</v>
      </c>
      <c r="I305" s="3"/>
      <c r="J305" s="331">
        <f t="shared" si="35"/>
        <v>0</v>
      </c>
      <c r="K305" s="331">
        <f t="shared" si="29"/>
        <v>0</v>
      </c>
      <c r="L305" s="326">
        <f>K305*係数!$I$30</f>
        <v>0</v>
      </c>
      <c r="M305" s="326">
        <f>K305*係数!$C$30*0.0000258</f>
        <v>0</v>
      </c>
      <c r="N305" s="10"/>
      <c r="O305" s="3"/>
      <c r="P305" s="483"/>
      <c r="Q305" s="51" t="s">
        <v>341</v>
      </c>
      <c r="R305" s="3"/>
      <c r="S305" s="329">
        <f t="shared" si="30"/>
        <v>0</v>
      </c>
      <c r="T305" s="327">
        <f t="shared" si="31"/>
        <v>0</v>
      </c>
      <c r="U305" s="326">
        <f>T305*係数!$I$30</f>
        <v>0</v>
      </c>
      <c r="V305" s="326">
        <f>T305*係数!$C$30*0.0000258</f>
        <v>0</v>
      </c>
      <c r="W305" s="282">
        <f t="shared" si="32"/>
        <v>0</v>
      </c>
      <c r="X305" s="337">
        <f t="shared" si="33"/>
        <v>0</v>
      </c>
      <c r="Y305" s="244">
        <f t="shared" si="34"/>
        <v>0</v>
      </c>
    </row>
    <row r="306" spans="2:25">
      <c r="B306" s="59" t="s">
        <v>585</v>
      </c>
      <c r="C306" s="10"/>
      <c r="D306" s="3"/>
      <c r="E306" s="483"/>
      <c r="F306" s="35"/>
      <c r="G306" s="35"/>
      <c r="H306" s="51" t="s">
        <v>341</v>
      </c>
      <c r="I306" s="3"/>
      <c r="J306" s="331">
        <f t="shared" si="35"/>
        <v>0</v>
      </c>
      <c r="K306" s="331">
        <f t="shared" si="29"/>
        <v>0</v>
      </c>
      <c r="L306" s="326">
        <f>K306*係数!$I$30</f>
        <v>0</v>
      </c>
      <c r="M306" s="326">
        <f>K306*係数!$C$30*0.0000258</f>
        <v>0</v>
      </c>
      <c r="N306" s="10"/>
      <c r="O306" s="3"/>
      <c r="P306" s="483"/>
      <c r="Q306" s="51" t="s">
        <v>341</v>
      </c>
      <c r="R306" s="3"/>
      <c r="S306" s="329">
        <f t="shared" si="30"/>
        <v>0</v>
      </c>
      <c r="T306" s="327">
        <f t="shared" si="31"/>
        <v>0</v>
      </c>
      <c r="U306" s="326">
        <f>T306*係数!$I$30</f>
        <v>0</v>
      </c>
      <c r="V306" s="326">
        <f>T306*係数!$C$30*0.0000258</f>
        <v>0</v>
      </c>
      <c r="W306" s="282">
        <f t="shared" si="32"/>
        <v>0</v>
      </c>
      <c r="X306" s="337">
        <f t="shared" si="33"/>
        <v>0</v>
      </c>
      <c r="Y306" s="244">
        <f t="shared" si="34"/>
        <v>0</v>
      </c>
    </row>
    <row r="307" spans="2:25">
      <c r="B307" s="59" t="s">
        <v>586</v>
      </c>
      <c r="C307" s="10"/>
      <c r="D307" s="3"/>
      <c r="E307" s="483"/>
      <c r="F307" s="35"/>
      <c r="G307" s="35"/>
      <c r="H307" s="51" t="s">
        <v>341</v>
      </c>
      <c r="I307" s="3"/>
      <c r="J307" s="331">
        <f t="shared" si="35"/>
        <v>0</v>
      </c>
      <c r="K307" s="331">
        <f t="shared" si="29"/>
        <v>0</v>
      </c>
      <c r="L307" s="326">
        <f>K307*係数!$I$30</f>
        <v>0</v>
      </c>
      <c r="M307" s="326">
        <f>K307*係数!$C$30*0.0000258</f>
        <v>0</v>
      </c>
      <c r="N307" s="10"/>
      <c r="O307" s="3"/>
      <c r="P307" s="483"/>
      <c r="Q307" s="51" t="s">
        <v>341</v>
      </c>
      <c r="R307" s="3"/>
      <c r="S307" s="329">
        <f t="shared" si="30"/>
        <v>0</v>
      </c>
      <c r="T307" s="327">
        <f t="shared" si="31"/>
        <v>0</v>
      </c>
      <c r="U307" s="326">
        <f>T307*係数!$I$30</f>
        <v>0</v>
      </c>
      <c r="V307" s="326">
        <f>T307*係数!$C$30*0.0000258</f>
        <v>0</v>
      </c>
      <c r="W307" s="282">
        <f t="shared" si="32"/>
        <v>0</v>
      </c>
      <c r="X307" s="337">
        <f t="shared" si="33"/>
        <v>0</v>
      </c>
      <c r="Y307" s="244">
        <f t="shared" si="34"/>
        <v>0</v>
      </c>
    </row>
    <row r="308" spans="2:25">
      <c r="B308" s="59" t="s">
        <v>587</v>
      </c>
      <c r="C308" s="10"/>
      <c r="D308" s="3"/>
      <c r="E308" s="483"/>
      <c r="F308" s="35"/>
      <c r="G308" s="35"/>
      <c r="H308" s="51" t="s">
        <v>341</v>
      </c>
      <c r="I308" s="3"/>
      <c r="J308" s="331">
        <f t="shared" si="35"/>
        <v>0</v>
      </c>
      <c r="K308" s="331">
        <f t="shared" si="29"/>
        <v>0</v>
      </c>
      <c r="L308" s="326">
        <f>K308*係数!$I$30</f>
        <v>0</v>
      </c>
      <c r="M308" s="326">
        <f>K308*係数!$C$30*0.0000258</f>
        <v>0</v>
      </c>
      <c r="N308" s="10"/>
      <c r="O308" s="3"/>
      <c r="P308" s="483"/>
      <c r="Q308" s="51" t="s">
        <v>341</v>
      </c>
      <c r="R308" s="3"/>
      <c r="S308" s="329">
        <f t="shared" si="30"/>
        <v>0</v>
      </c>
      <c r="T308" s="327">
        <f t="shared" si="31"/>
        <v>0</v>
      </c>
      <c r="U308" s="326">
        <f>T308*係数!$I$30</f>
        <v>0</v>
      </c>
      <c r="V308" s="326">
        <f>T308*係数!$C$30*0.0000258</f>
        <v>0</v>
      </c>
      <c r="W308" s="282">
        <f t="shared" si="32"/>
        <v>0</v>
      </c>
      <c r="X308" s="337">
        <f t="shared" si="33"/>
        <v>0</v>
      </c>
      <c r="Y308" s="244">
        <f t="shared" si="34"/>
        <v>0</v>
      </c>
    </row>
    <row r="309" spans="2:25">
      <c r="B309" s="59" t="s">
        <v>588</v>
      </c>
      <c r="C309" s="10"/>
      <c r="D309" s="3"/>
      <c r="E309" s="483"/>
      <c r="F309" s="35"/>
      <c r="G309" s="35"/>
      <c r="H309" s="51" t="s">
        <v>341</v>
      </c>
      <c r="I309" s="3"/>
      <c r="J309" s="331">
        <f t="shared" si="35"/>
        <v>0</v>
      </c>
      <c r="K309" s="331">
        <f t="shared" si="29"/>
        <v>0</v>
      </c>
      <c r="L309" s="326">
        <f>K309*係数!$I$30</f>
        <v>0</v>
      </c>
      <c r="M309" s="326">
        <f>K309*係数!$C$30*0.0000258</f>
        <v>0</v>
      </c>
      <c r="N309" s="10"/>
      <c r="O309" s="3"/>
      <c r="P309" s="483"/>
      <c r="Q309" s="51" t="s">
        <v>341</v>
      </c>
      <c r="R309" s="3"/>
      <c r="S309" s="329">
        <f t="shared" si="30"/>
        <v>0</v>
      </c>
      <c r="T309" s="327">
        <f t="shared" si="31"/>
        <v>0</v>
      </c>
      <c r="U309" s="326">
        <f>T309*係数!$I$30</f>
        <v>0</v>
      </c>
      <c r="V309" s="326">
        <f>T309*係数!$C$30*0.0000258</f>
        <v>0</v>
      </c>
      <c r="W309" s="282">
        <f t="shared" si="32"/>
        <v>0</v>
      </c>
      <c r="X309" s="337">
        <f t="shared" si="33"/>
        <v>0</v>
      </c>
      <c r="Y309" s="244">
        <f t="shared" si="34"/>
        <v>0</v>
      </c>
    </row>
    <row r="310" spans="2:25">
      <c r="B310" s="59" t="s">
        <v>589</v>
      </c>
      <c r="C310" s="10"/>
      <c r="D310" s="3"/>
      <c r="E310" s="483"/>
      <c r="F310" s="35"/>
      <c r="G310" s="35"/>
      <c r="H310" s="51" t="s">
        <v>341</v>
      </c>
      <c r="I310" s="3"/>
      <c r="J310" s="331">
        <f t="shared" si="35"/>
        <v>0</v>
      </c>
      <c r="K310" s="331">
        <f t="shared" si="29"/>
        <v>0</v>
      </c>
      <c r="L310" s="326">
        <f>K310*係数!$I$30</f>
        <v>0</v>
      </c>
      <c r="M310" s="326">
        <f>K310*係数!$C$30*0.0000258</f>
        <v>0</v>
      </c>
      <c r="N310" s="10"/>
      <c r="O310" s="3"/>
      <c r="P310" s="483"/>
      <c r="Q310" s="51" t="s">
        <v>341</v>
      </c>
      <c r="R310" s="3"/>
      <c r="S310" s="329">
        <f t="shared" si="30"/>
        <v>0</v>
      </c>
      <c r="T310" s="327">
        <f t="shared" si="31"/>
        <v>0</v>
      </c>
      <c r="U310" s="326">
        <f>T310*係数!$I$30</f>
        <v>0</v>
      </c>
      <c r="V310" s="326">
        <f>T310*係数!$C$30*0.0000258</f>
        <v>0</v>
      </c>
      <c r="W310" s="282">
        <f t="shared" si="32"/>
        <v>0</v>
      </c>
      <c r="X310" s="337">
        <f t="shared" si="33"/>
        <v>0</v>
      </c>
      <c r="Y310" s="244">
        <f t="shared" si="34"/>
        <v>0</v>
      </c>
    </row>
    <row r="311" spans="2:25">
      <c r="B311" s="59" t="s">
        <v>590</v>
      </c>
      <c r="C311" s="10"/>
      <c r="D311" s="3"/>
      <c r="E311" s="483"/>
      <c r="F311" s="35"/>
      <c r="G311" s="35"/>
      <c r="H311" s="51" t="s">
        <v>341</v>
      </c>
      <c r="I311" s="3"/>
      <c r="J311" s="331">
        <f t="shared" si="35"/>
        <v>0</v>
      </c>
      <c r="K311" s="331">
        <f t="shared" si="29"/>
        <v>0</v>
      </c>
      <c r="L311" s="326">
        <f>K311*係数!$I$30</f>
        <v>0</v>
      </c>
      <c r="M311" s="326">
        <f>K311*係数!$C$30*0.0000258</f>
        <v>0</v>
      </c>
      <c r="N311" s="10"/>
      <c r="O311" s="3"/>
      <c r="P311" s="483"/>
      <c r="Q311" s="51" t="s">
        <v>341</v>
      </c>
      <c r="R311" s="3"/>
      <c r="S311" s="329">
        <f t="shared" si="30"/>
        <v>0</v>
      </c>
      <c r="T311" s="327">
        <f t="shared" si="31"/>
        <v>0</v>
      </c>
      <c r="U311" s="326">
        <f>T311*係数!$I$30</f>
        <v>0</v>
      </c>
      <c r="V311" s="326">
        <f>T311*係数!$C$30*0.0000258</f>
        <v>0</v>
      </c>
      <c r="W311" s="282">
        <f t="shared" si="32"/>
        <v>0</v>
      </c>
      <c r="X311" s="337">
        <f t="shared" si="33"/>
        <v>0</v>
      </c>
      <c r="Y311" s="244">
        <f t="shared" si="34"/>
        <v>0</v>
      </c>
    </row>
    <row r="312" spans="2:25">
      <c r="B312" s="59" t="s">
        <v>591</v>
      </c>
      <c r="C312" s="10"/>
      <c r="D312" s="3"/>
      <c r="E312" s="483"/>
      <c r="F312" s="35"/>
      <c r="G312" s="35"/>
      <c r="H312" s="51" t="s">
        <v>341</v>
      </c>
      <c r="I312" s="3"/>
      <c r="J312" s="331">
        <f t="shared" si="35"/>
        <v>0</v>
      </c>
      <c r="K312" s="331">
        <f t="shared" si="29"/>
        <v>0</v>
      </c>
      <c r="L312" s="326">
        <f>K312*係数!$I$30</f>
        <v>0</v>
      </c>
      <c r="M312" s="326">
        <f>K312*係数!$C$30*0.0000258</f>
        <v>0</v>
      </c>
      <c r="N312" s="10"/>
      <c r="O312" s="3"/>
      <c r="P312" s="483"/>
      <c r="Q312" s="51" t="s">
        <v>341</v>
      </c>
      <c r="R312" s="3"/>
      <c r="S312" s="329">
        <f t="shared" si="30"/>
        <v>0</v>
      </c>
      <c r="T312" s="327">
        <f t="shared" si="31"/>
        <v>0</v>
      </c>
      <c r="U312" s="326">
        <f>T312*係数!$I$30</f>
        <v>0</v>
      </c>
      <c r="V312" s="326">
        <f>T312*係数!$C$30*0.0000258</f>
        <v>0</v>
      </c>
      <c r="W312" s="282">
        <f t="shared" si="32"/>
        <v>0</v>
      </c>
      <c r="X312" s="337">
        <f t="shared" si="33"/>
        <v>0</v>
      </c>
      <c r="Y312" s="244">
        <f t="shared" si="34"/>
        <v>0</v>
      </c>
    </row>
    <row r="313" spans="2:25">
      <c r="B313" s="59" t="s">
        <v>592</v>
      </c>
      <c r="C313" s="10"/>
      <c r="D313" s="3"/>
      <c r="E313" s="483"/>
      <c r="F313" s="35"/>
      <c r="G313" s="35"/>
      <c r="H313" s="51" t="s">
        <v>341</v>
      </c>
      <c r="I313" s="3"/>
      <c r="J313" s="331">
        <f t="shared" si="35"/>
        <v>0</v>
      </c>
      <c r="K313" s="331">
        <f t="shared" si="29"/>
        <v>0</v>
      </c>
      <c r="L313" s="326">
        <f>K313*係数!$I$30</f>
        <v>0</v>
      </c>
      <c r="M313" s="326">
        <f>K313*係数!$C$30*0.0000258</f>
        <v>0</v>
      </c>
      <c r="N313" s="10"/>
      <c r="O313" s="3"/>
      <c r="P313" s="483"/>
      <c r="Q313" s="51" t="s">
        <v>341</v>
      </c>
      <c r="R313" s="3"/>
      <c r="S313" s="329">
        <f t="shared" si="30"/>
        <v>0</v>
      </c>
      <c r="T313" s="327">
        <f t="shared" si="31"/>
        <v>0</v>
      </c>
      <c r="U313" s="326">
        <f>T313*係数!$I$30</f>
        <v>0</v>
      </c>
      <c r="V313" s="326">
        <f>T313*係数!$C$30*0.0000258</f>
        <v>0</v>
      </c>
      <c r="W313" s="282">
        <f t="shared" si="32"/>
        <v>0</v>
      </c>
      <c r="X313" s="337">
        <f t="shared" si="33"/>
        <v>0</v>
      </c>
      <c r="Y313" s="244">
        <f t="shared" si="34"/>
        <v>0</v>
      </c>
    </row>
    <row r="314" spans="2:25">
      <c r="B314" s="59" t="s">
        <v>593</v>
      </c>
      <c r="C314" s="10"/>
      <c r="D314" s="3"/>
      <c r="E314" s="483"/>
      <c r="F314" s="35"/>
      <c r="G314" s="35"/>
      <c r="H314" s="51" t="s">
        <v>341</v>
      </c>
      <c r="I314" s="3"/>
      <c r="J314" s="331">
        <f t="shared" si="35"/>
        <v>0</v>
      </c>
      <c r="K314" s="331">
        <f t="shared" si="29"/>
        <v>0</v>
      </c>
      <c r="L314" s="326">
        <f>K314*係数!$I$30</f>
        <v>0</v>
      </c>
      <c r="M314" s="326">
        <f>K314*係数!$C$30*0.0000258</f>
        <v>0</v>
      </c>
      <c r="N314" s="10"/>
      <c r="O314" s="3"/>
      <c r="P314" s="483"/>
      <c r="Q314" s="51" t="s">
        <v>341</v>
      </c>
      <c r="R314" s="3"/>
      <c r="S314" s="329">
        <f t="shared" si="30"/>
        <v>0</v>
      </c>
      <c r="T314" s="327">
        <f t="shared" si="31"/>
        <v>0</v>
      </c>
      <c r="U314" s="326">
        <f>T314*係数!$I$30</f>
        <v>0</v>
      </c>
      <c r="V314" s="326">
        <f>T314*係数!$C$30*0.0000258</f>
        <v>0</v>
      </c>
      <c r="W314" s="282">
        <f t="shared" si="32"/>
        <v>0</v>
      </c>
      <c r="X314" s="337">
        <f t="shared" si="33"/>
        <v>0</v>
      </c>
      <c r="Y314" s="244">
        <f t="shared" si="34"/>
        <v>0</v>
      </c>
    </row>
    <row r="315" spans="2:25">
      <c r="B315" s="59" t="s">
        <v>594</v>
      </c>
      <c r="C315" s="10"/>
      <c r="D315" s="3"/>
      <c r="E315" s="483"/>
      <c r="F315" s="35"/>
      <c r="G315" s="35"/>
      <c r="H315" s="51" t="s">
        <v>341</v>
      </c>
      <c r="I315" s="3"/>
      <c r="J315" s="331">
        <f t="shared" si="35"/>
        <v>0</v>
      </c>
      <c r="K315" s="331">
        <f t="shared" si="29"/>
        <v>0</v>
      </c>
      <c r="L315" s="326">
        <f>K315*係数!$I$30</f>
        <v>0</v>
      </c>
      <c r="M315" s="326">
        <f>K315*係数!$C$30*0.0000258</f>
        <v>0</v>
      </c>
      <c r="N315" s="10"/>
      <c r="O315" s="3"/>
      <c r="P315" s="483"/>
      <c r="Q315" s="51" t="s">
        <v>341</v>
      </c>
      <c r="R315" s="3"/>
      <c r="S315" s="329">
        <f t="shared" si="30"/>
        <v>0</v>
      </c>
      <c r="T315" s="327">
        <f t="shared" si="31"/>
        <v>0</v>
      </c>
      <c r="U315" s="326">
        <f>T315*係数!$I$30</f>
        <v>0</v>
      </c>
      <c r="V315" s="326">
        <f>T315*係数!$C$30*0.0000258</f>
        <v>0</v>
      </c>
      <c r="W315" s="282">
        <f t="shared" si="32"/>
        <v>0</v>
      </c>
      <c r="X315" s="337">
        <f t="shared" si="33"/>
        <v>0</v>
      </c>
      <c r="Y315" s="244">
        <f t="shared" si="34"/>
        <v>0</v>
      </c>
    </row>
    <row r="316" spans="2:25">
      <c r="B316" s="59" t="s">
        <v>595</v>
      </c>
      <c r="C316" s="10"/>
      <c r="D316" s="3"/>
      <c r="E316" s="483"/>
      <c r="F316" s="35"/>
      <c r="G316" s="35"/>
      <c r="H316" s="51" t="s">
        <v>341</v>
      </c>
      <c r="I316" s="3"/>
      <c r="J316" s="331">
        <f t="shared" si="35"/>
        <v>0</v>
      </c>
      <c r="K316" s="331">
        <f t="shared" si="29"/>
        <v>0</v>
      </c>
      <c r="L316" s="326">
        <f>K316*係数!$I$30</f>
        <v>0</v>
      </c>
      <c r="M316" s="326">
        <f>K316*係数!$C$30*0.0000258</f>
        <v>0</v>
      </c>
      <c r="N316" s="10"/>
      <c r="O316" s="3"/>
      <c r="P316" s="483"/>
      <c r="Q316" s="51" t="s">
        <v>341</v>
      </c>
      <c r="R316" s="3"/>
      <c r="S316" s="329">
        <f t="shared" si="30"/>
        <v>0</v>
      </c>
      <c r="T316" s="327">
        <f t="shared" si="31"/>
        <v>0</v>
      </c>
      <c r="U316" s="326">
        <f>T316*係数!$I$30</f>
        <v>0</v>
      </c>
      <c r="V316" s="326">
        <f>T316*係数!$C$30*0.0000258</f>
        <v>0</v>
      </c>
      <c r="W316" s="282">
        <f t="shared" si="32"/>
        <v>0</v>
      </c>
      <c r="X316" s="337">
        <f t="shared" si="33"/>
        <v>0</v>
      </c>
      <c r="Y316" s="244">
        <f t="shared" si="34"/>
        <v>0</v>
      </c>
    </row>
    <row r="317" spans="2:25">
      <c r="B317" s="59" t="s">
        <v>596</v>
      </c>
      <c r="C317" s="10"/>
      <c r="D317" s="3"/>
      <c r="E317" s="483"/>
      <c r="F317" s="35"/>
      <c r="G317" s="35"/>
      <c r="H317" s="51" t="s">
        <v>341</v>
      </c>
      <c r="I317" s="3"/>
      <c r="J317" s="331">
        <f t="shared" si="35"/>
        <v>0</v>
      </c>
      <c r="K317" s="331">
        <f t="shared" si="29"/>
        <v>0</v>
      </c>
      <c r="L317" s="326">
        <f>K317*係数!$I$30</f>
        <v>0</v>
      </c>
      <c r="M317" s="326">
        <f>K317*係数!$C$30*0.0000258</f>
        <v>0</v>
      </c>
      <c r="N317" s="10"/>
      <c r="O317" s="3"/>
      <c r="P317" s="483"/>
      <c r="Q317" s="51" t="s">
        <v>341</v>
      </c>
      <c r="R317" s="3"/>
      <c r="S317" s="329">
        <f t="shared" si="30"/>
        <v>0</v>
      </c>
      <c r="T317" s="327">
        <f t="shared" si="31"/>
        <v>0</v>
      </c>
      <c r="U317" s="326">
        <f>T317*係数!$I$30</f>
        <v>0</v>
      </c>
      <c r="V317" s="326">
        <f>T317*係数!$C$30*0.0000258</f>
        <v>0</v>
      </c>
      <c r="W317" s="282">
        <f t="shared" si="32"/>
        <v>0</v>
      </c>
      <c r="X317" s="337">
        <f t="shared" si="33"/>
        <v>0</v>
      </c>
      <c r="Y317" s="244">
        <f t="shared" si="34"/>
        <v>0</v>
      </c>
    </row>
    <row r="318" spans="2:25">
      <c r="B318" s="59" t="s">
        <v>597</v>
      </c>
      <c r="C318" s="10"/>
      <c r="D318" s="3"/>
      <c r="E318" s="483"/>
      <c r="F318" s="35"/>
      <c r="G318" s="35"/>
      <c r="H318" s="51" t="s">
        <v>341</v>
      </c>
      <c r="I318" s="3"/>
      <c r="J318" s="331">
        <f t="shared" si="35"/>
        <v>0</v>
      </c>
      <c r="K318" s="331">
        <f t="shared" si="29"/>
        <v>0</v>
      </c>
      <c r="L318" s="326">
        <f>K318*係数!$I$30</f>
        <v>0</v>
      </c>
      <c r="M318" s="326">
        <f>K318*係数!$C$30*0.0000258</f>
        <v>0</v>
      </c>
      <c r="N318" s="10"/>
      <c r="O318" s="3"/>
      <c r="P318" s="483"/>
      <c r="Q318" s="51" t="s">
        <v>341</v>
      </c>
      <c r="R318" s="3"/>
      <c r="S318" s="329">
        <f t="shared" si="30"/>
        <v>0</v>
      </c>
      <c r="T318" s="327">
        <f t="shared" si="31"/>
        <v>0</v>
      </c>
      <c r="U318" s="326">
        <f>T318*係数!$I$30</f>
        <v>0</v>
      </c>
      <c r="V318" s="326">
        <f>T318*係数!$C$30*0.0000258</f>
        <v>0</v>
      </c>
      <c r="W318" s="282">
        <f t="shared" si="32"/>
        <v>0</v>
      </c>
      <c r="X318" s="337">
        <f t="shared" si="33"/>
        <v>0</v>
      </c>
      <c r="Y318" s="244">
        <f t="shared" si="34"/>
        <v>0</v>
      </c>
    </row>
    <row r="319" spans="2:25">
      <c r="B319" s="59" t="s">
        <v>598</v>
      </c>
      <c r="C319" s="10"/>
      <c r="D319" s="3"/>
      <c r="E319" s="483"/>
      <c r="F319" s="35"/>
      <c r="G319" s="35"/>
      <c r="H319" s="51" t="s">
        <v>341</v>
      </c>
      <c r="I319" s="3"/>
      <c r="J319" s="331">
        <f t="shared" si="35"/>
        <v>0</v>
      </c>
      <c r="K319" s="331">
        <f t="shared" si="29"/>
        <v>0</v>
      </c>
      <c r="L319" s="326">
        <f>K319*係数!$I$30</f>
        <v>0</v>
      </c>
      <c r="M319" s="326">
        <f>K319*係数!$C$30*0.0000258</f>
        <v>0</v>
      </c>
      <c r="N319" s="10"/>
      <c r="O319" s="3"/>
      <c r="P319" s="483"/>
      <c r="Q319" s="51" t="s">
        <v>341</v>
      </c>
      <c r="R319" s="3"/>
      <c r="S319" s="329">
        <f t="shared" si="30"/>
        <v>0</v>
      </c>
      <c r="T319" s="327">
        <f t="shared" si="31"/>
        <v>0</v>
      </c>
      <c r="U319" s="326">
        <f>T319*係数!$I$30</f>
        <v>0</v>
      </c>
      <c r="V319" s="326">
        <f>T319*係数!$C$30*0.0000258</f>
        <v>0</v>
      </c>
      <c r="W319" s="282">
        <f t="shared" si="32"/>
        <v>0</v>
      </c>
      <c r="X319" s="337">
        <f t="shared" si="33"/>
        <v>0</v>
      </c>
      <c r="Y319" s="244">
        <f t="shared" si="34"/>
        <v>0</v>
      </c>
    </row>
    <row r="320" spans="2:25">
      <c r="B320" s="59" t="s">
        <v>599</v>
      </c>
      <c r="C320" s="10"/>
      <c r="D320" s="3"/>
      <c r="E320" s="483"/>
      <c r="F320" s="35"/>
      <c r="G320" s="35"/>
      <c r="H320" s="51" t="s">
        <v>341</v>
      </c>
      <c r="I320" s="3"/>
      <c r="J320" s="331">
        <f t="shared" si="35"/>
        <v>0</v>
      </c>
      <c r="K320" s="331">
        <f t="shared" si="29"/>
        <v>0</v>
      </c>
      <c r="L320" s="326">
        <f>K320*係数!$I$30</f>
        <v>0</v>
      </c>
      <c r="M320" s="326">
        <f>K320*係数!$C$30*0.0000258</f>
        <v>0</v>
      </c>
      <c r="N320" s="10"/>
      <c r="O320" s="3"/>
      <c r="P320" s="483"/>
      <c r="Q320" s="51" t="s">
        <v>341</v>
      </c>
      <c r="R320" s="3"/>
      <c r="S320" s="329">
        <f t="shared" si="30"/>
        <v>0</v>
      </c>
      <c r="T320" s="327">
        <f t="shared" si="31"/>
        <v>0</v>
      </c>
      <c r="U320" s="326">
        <f>T320*係数!$I$30</f>
        <v>0</v>
      </c>
      <c r="V320" s="326">
        <f>T320*係数!$C$30*0.0000258</f>
        <v>0</v>
      </c>
      <c r="W320" s="282">
        <f t="shared" si="32"/>
        <v>0</v>
      </c>
      <c r="X320" s="337">
        <f t="shared" si="33"/>
        <v>0</v>
      </c>
      <c r="Y320" s="244">
        <f t="shared" si="34"/>
        <v>0</v>
      </c>
    </row>
    <row r="321" spans="2:25">
      <c r="B321" s="59" t="s">
        <v>600</v>
      </c>
      <c r="C321" s="10"/>
      <c r="D321" s="3"/>
      <c r="E321" s="483"/>
      <c r="F321" s="35"/>
      <c r="G321" s="35"/>
      <c r="H321" s="51" t="s">
        <v>341</v>
      </c>
      <c r="I321" s="3"/>
      <c r="J321" s="331">
        <f t="shared" si="35"/>
        <v>0</v>
      </c>
      <c r="K321" s="331">
        <f t="shared" si="29"/>
        <v>0</v>
      </c>
      <c r="L321" s="326">
        <f>K321*係数!$I$30</f>
        <v>0</v>
      </c>
      <c r="M321" s="326">
        <f>K321*係数!$C$30*0.0000258</f>
        <v>0</v>
      </c>
      <c r="N321" s="10"/>
      <c r="O321" s="3"/>
      <c r="P321" s="483"/>
      <c r="Q321" s="51" t="s">
        <v>341</v>
      </c>
      <c r="R321" s="3"/>
      <c r="S321" s="329">
        <f t="shared" si="30"/>
        <v>0</v>
      </c>
      <c r="T321" s="327">
        <f t="shared" si="31"/>
        <v>0</v>
      </c>
      <c r="U321" s="326">
        <f>T321*係数!$I$30</f>
        <v>0</v>
      </c>
      <c r="V321" s="326">
        <f>T321*係数!$C$30*0.0000258</f>
        <v>0</v>
      </c>
      <c r="W321" s="282">
        <f t="shared" si="32"/>
        <v>0</v>
      </c>
      <c r="X321" s="337">
        <f t="shared" si="33"/>
        <v>0</v>
      </c>
      <c r="Y321" s="244">
        <f t="shared" si="34"/>
        <v>0</v>
      </c>
    </row>
    <row r="322" spans="2:25">
      <c r="B322" s="59" t="s">
        <v>601</v>
      </c>
      <c r="C322" s="10"/>
      <c r="D322" s="3"/>
      <c r="E322" s="483"/>
      <c r="F322" s="35"/>
      <c r="G322" s="35"/>
      <c r="H322" s="51" t="s">
        <v>341</v>
      </c>
      <c r="I322" s="3"/>
      <c r="J322" s="331">
        <f t="shared" si="35"/>
        <v>0</v>
      </c>
      <c r="K322" s="331">
        <f t="shared" si="29"/>
        <v>0</v>
      </c>
      <c r="L322" s="326">
        <f>K322*係数!$I$30</f>
        <v>0</v>
      </c>
      <c r="M322" s="326">
        <f>K322*係数!$C$30*0.0000258</f>
        <v>0</v>
      </c>
      <c r="N322" s="10"/>
      <c r="O322" s="3"/>
      <c r="P322" s="483"/>
      <c r="Q322" s="51" t="s">
        <v>341</v>
      </c>
      <c r="R322" s="3"/>
      <c r="S322" s="329">
        <f t="shared" si="30"/>
        <v>0</v>
      </c>
      <c r="T322" s="327">
        <f t="shared" si="31"/>
        <v>0</v>
      </c>
      <c r="U322" s="326">
        <f>T322*係数!$I$30</f>
        <v>0</v>
      </c>
      <c r="V322" s="326">
        <f>T322*係数!$C$30*0.0000258</f>
        <v>0</v>
      </c>
      <c r="W322" s="282">
        <f t="shared" si="32"/>
        <v>0</v>
      </c>
      <c r="X322" s="337">
        <f t="shared" si="33"/>
        <v>0</v>
      </c>
      <c r="Y322" s="244">
        <f t="shared" si="34"/>
        <v>0</v>
      </c>
    </row>
    <row r="323" spans="2:25">
      <c r="B323" s="59" t="s">
        <v>602</v>
      </c>
      <c r="C323" s="10"/>
      <c r="D323" s="3"/>
      <c r="E323" s="483"/>
      <c r="F323" s="35"/>
      <c r="G323" s="35"/>
      <c r="H323" s="51" t="s">
        <v>341</v>
      </c>
      <c r="I323" s="3"/>
      <c r="J323" s="331">
        <f t="shared" si="35"/>
        <v>0</v>
      </c>
      <c r="K323" s="331">
        <f t="shared" si="29"/>
        <v>0</v>
      </c>
      <c r="L323" s="326">
        <f>K323*係数!$I$30</f>
        <v>0</v>
      </c>
      <c r="M323" s="326">
        <f>K323*係数!$C$30*0.0000258</f>
        <v>0</v>
      </c>
      <c r="N323" s="10"/>
      <c r="O323" s="3"/>
      <c r="P323" s="483"/>
      <c r="Q323" s="51" t="s">
        <v>341</v>
      </c>
      <c r="R323" s="3"/>
      <c r="S323" s="329">
        <f t="shared" si="30"/>
        <v>0</v>
      </c>
      <c r="T323" s="327">
        <f t="shared" si="31"/>
        <v>0</v>
      </c>
      <c r="U323" s="326">
        <f>T323*係数!$I$30</f>
        <v>0</v>
      </c>
      <c r="V323" s="326">
        <f>T323*係数!$C$30*0.0000258</f>
        <v>0</v>
      </c>
      <c r="W323" s="282">
        <f t="shared" si="32"/>
        <v>0</v>
      </c>
      <c r="X323" s="337">
        <f t="shared" si="33"/>
        <v>0</v>
      </c>
      <c r="Y323" s="244">
        <f t="shared" si="34"/>
        <v>0</v>
      </c>
    </row>
    <row r="324" spans="2:25">
      <c r="B324" s="59" t="s">
        <v>603</v>
      </c>
      <c r="C324" s="10"/>
      <c r="D324" s="3"/>
      <c r="E324" s="483"/>
      <c r="F324" s="35"/>
      <c r="G324" s="35"/>
      <c r="H324" s="51" t="s">
        <v>341</v>
      </c>
      <c r="I324" s="3"/>
      <c r="J324" s="331">
        <f t="shared" si="35"/>
        <v>0</v>
      </c>
      <c r="K324" s="331">
        <f t="shared" si="29"/>
        <v>0</v>
      </c>
      <c r="L324" s="326">
        <f>K324*係数!$I$30</f>
        <v>0</v>
      </c>
      <c r="M324" s="326">
        <f>K324*係数!$C$30*0.0000258</f>
        <v>0</v>
      </c>
      <c r="N324" s="10"/>
      <c r="O324" s="3"/>
      <c r="P324" s="483"/>
      <c r="Q324" s="51" t="s">
        <v>341</v>
      </c>
      <c r="R324" s="3"/>
      <c r="S324" s="329">
        <f t="shared" si="30"/>
        <v>0</v>
      </c>
      <c r="T324" s="327">
        <f t="shared" si="31"/>
        <v>0</v>
      </c>
      <c r="U324" s="326">
        <f>T324*係数!$I$30</f>
        <v>0</v>
      </c>
      <c r="V324" s="326">
        <f>T324*係数!$C$30*0.0000258</f>
        <v>0</v>
      </c>
      <c r="W324" s="282">
        <f t="shared" si="32"/>
        <v>0</v>
      </c>
      <c r="X324" s="337">
        <f t="shared" si="33"/>
        <v>0</v>
      </c>
      <c r="Y324" s="244">
        <f t="shared" si="34"/>
        <v>0</v>
      </c>
    </row>
    <row r="325" spans="2:25">
      <c r="B325" s="59" t="s">
        <v>604</v>
      </c>
      <c r="C325" s="10"/>
      <c r="D325" s="3"/>
      <c r="E325" s="483"/>
      <c r="F325" s="35"/>
      <c r="G325" s="35"/>
      <c r="H325" s="51" t="s">
        <v>341</v>
      </c>
      <c r="I325" s="3"/>
      <c r="J325" s="331">
        <f t="shared" si="35"/>
        <v>0</v>
      </c>
      <c r="K325" s="331">
        <f t="shared" si="29"/>
        <v>0</v>
      </c>
      <c r="L325" s="326">
        <f>K325*係数!$I$30</f>
        <v>0</v>
      </c>
      <c r="M325" s="326">
        <f>K325*係数!$C$30*0.0000258</f>
        <v>0</v>
      </c>
      <c r="N325" s="10"/>
      <c r="O325" s="3"/>
      <c r="P325" s="483"/>
      <c r="Q325" s="51" t="s">
        <v>341</v>
      </c>
      <c r="R325" s="3"/>
      <c r="S325" s="329">
        <f t="shared" si="30"/>
        <v>0</v>
      </c>
      <c r="T325" s="327">
        <f t="shared" si="31"/>
        <v>0</v>
      </c>
      <c r="U325" s="326">
        <f>T325*係数!$I$30</f>
        <v>0</v>
      </c>
      <c r="V325" s="326">
        <f>T325*係数!$C$30*0.0000258</f>
        <v>0</v>
      </c>
      <c r="W325" s="282">
        <f t="shared" si="32"/>
        <v>0</v>
      </c>
      <c r="X325" s="337">
        <f t="shared" si="33"/>
        <v>0</v>
      </c>
      <c r="Y325" s="244">
        <f t="shared" si="34"/>
        <v>0</v>
      </c>
    </row>
    <row r="326" spans="2:25">
      <c r="B326" s="59" t="s">
        <v>605</v>
      </c>
      <c r="C326" s="10"/>
      <c r="D326" s="3"/>
      <c r="E326" s="483"/>
      <c r="F326" s="35"/>
      <c r="G326" s="35"/>
      <c r="H326" s="51" t="s">
        <v>341</v>
      </c>
      <c r="I326" s="3"/>
      <c r="J326" s="331">
        <f t="shared" si="35"/>
        <v>0</v>
      </c>
      <c r="K326" s="331">
        <f t="shared" si="29"/>
        <v>0</v>
      </c>
      <c r="L326" s="326">
        <f>K326*係数!$I$30</f>
        <v>0</v>
      </c>
      <c r="M326" s="326">
        <f>K326*係数!$C$30*0.0000258</f>
        <v>0</v>
      </c>
      <c r="N326" s="10"/>
      <c r="O326" s="3"/>
      <c r="P326" s="483"/>
      <c r="Q326" s="51" t="s">
        <v>341</v>
      </c>
      <c r="R326" s="3"/>
      <c r="S326" s="329">
        <f t="shared" si="30"/>
        <v>0</v>
      </c>
      <c r="T326" s="327">
        <f t="shared" si="31"/>
        <v>0</v>
      </c>
      <c r="U326" s="326">
        <f>T326*係数!$I$30</f>
        <v>0</v>
      </c>
      <c r="V326" s="326">
        <f>T326*係数!$C$30*0.0000258</f>
        <v>0</v>
      </c>
      <c r="W326" s="282">
        <f t="shared" si="32"/>
        <v>0</v>
      </c>
      <c r="X326" s="337">
        <f t="shared" si="33"/>
        <v>0</v>
      </c>
      <c r="Y326" s="244">
        <f t="shared" si="34"/>
        <v>0</v>
      </c>
    </row>
    <row r="327" spans="2:25">
      <c r="B327" s="59" t="s">
        <v>606</v>
      </c>
      <c r="C327" s="10"/>
      <c r="D327" s="3"/>
      <c r="E327" s="483"/>
      <c r="F327" s="35"/>
      <c r="G327" s="35"/>
      <c r="H327" s="51" t="s">
        <v>341</v>
      </c>
      <c r="I327" s="3"/>
      <c r="J327" s="331">
        <f t="shared" si="35"/>
        <v>0</v>
      </c>
      <c r="K327" s="331">
        <f t="shared" si="29"/>
        <v>0</v>
      </c>
      <c r="L327" s="326">
        <f>K327*係数!$I$30</f>
        <v>0</v>
      </c>
      <c r="M327" s="326">
        <f>K327*係数!$C$30*0.0000258</f>
        <v>0</v>
      </c>
      <c r="N327" s="10"/>
      <c r="O327" s="3"/>
      <c r="P327" s="483"/>
      <c r="Q327" s="51" t="s">
        <v>341</v>
      </c>
      <c r="R327" s="3"/>
      <c r="S327" s="329">
        <f t="shared" si="30"/>
        <v>0</v>
      </c>
      <c r="T327" s="327">
        <f t="shared" si="31"/>
        <v>0</v>
      </c>
      <c r="U327" s="326">
        <f>T327*係数!$I$30</f>
        <v>0</v>
      </c>
      <c r="V327" s="326">
        <f>T327*係数!$C$30*0.0000258</f>
        <v>0</v>
      </c>
      <c r="W327" s="282">
        <f t="shared" si="32"/>
        <v>0</v>
      </c>
      <c r="X327" s="337">
        <f t="shared" si="33"/>
        <v>0</v>
      </c>
      <c r="Y327" s="244">
        <f t="shared" si="34"/>
        <v>0</v>
      </c>
    </row>
    <row r="328" spans="2:25">
      <c r="B328" s="59" t="s">
        <v>607</v>
      </c>
      <c r="C328" s="10"/>
      <c r="D328" s="3"/>
      <c r="E328" s="483"/>
      <c r="F328" s="35"/>
      <c r="G328" s="35"/>
      <c r="H328" s="51" t="s">
        <v>341</v>
      </c>
      <c r="I328" s="3"/>
      <c r="J328" s="331">
        <f t="shared" si="35"/>
        <v>0</v>
      </c>
      <c r="K328" s="331">
        <f t="shared" si="29"/>
        <v>0</v>
      </c>
      <c r="L328" s="326">
        <f>K328*係数!$I$30</f>
        <v>0</v>
      </c>
      <c r="M328" s="326">
        <f>K328*係数!$C$30*0.0000258</f>
        <v>0</v>
      </c>
      <c r="N328" s="10"/>
      <c r="O328" s="3"/>
      <c r="P328" s="483"/>
      <c r="Q328" s="51" t="s">
        <v>341</v>
      </c>
      <c r="R328" s="3"/>
      <c r="S328" s="329">
        <f t="shared" si="30"/>
        <v>0</v>
      </c>
      <c r="T328" s="327">
        <f t="shared" si="31"/>
        <v>0</v>
      </c>
      <c r="U328" s="326">
        <f>T328*係数!$I$30</f>
        <v>0</v>
      </c>
      <c r="V328" s="326">
        <f>T328*係数!$C$30*0.0000258</f>
        <v>0</v>
      </c>
      <c r="W328" s="282">
        <f t="shared" si="32"/>
        <v>0</v>
      </c>
      <c r="X328" s="337">
        <f t="shared" si="33"/>
        <v>0</v>
      </c>
      <c r="Y328" s="244">
        <f t="shared" si="34"/>
        <v>0</v>
      </c>
    </row>
    <row r="329" spans="2:25">
      <c r="B329" s="59" t="s">
        <v>608</v>
      </c>
      <c r="C329" s="10"/>
      <c r="D329" s="3"/>
      <c r="E329" s="483"/>
      <c r="F329" s="35"/>
      <c r="G329" s="35"/>
      <c r="H329" s="51" t="s">
        <v>341</v>
      </c>
      <c r="I329" s="3"/>
      <c r="J329" s="331">
        <f t="shared" si="35"/>
        <v>0</v>
      </c>
      <c r="K329" s="331">
        <f t="shared" si="29"/>
        <v>0</v>
      </c>
      <c r="L329" s="326">
        <f>K329*係数!$I$30</f>
        <v>0</v>
      </c>
      <c r="M329" s="326">
        <f>K329*係数!$C$30*0.0000258</f>
        <v>0</v>
      </c>
      <c r="N329" s="10"/>
      <c r="O329" s="3"/>
      <c r="P329" s="483"/>
      <c r="Q329" s="51" t="s">
        <v>341</v>
      </c>
      <c r="R329" s="3"/>
      <c r="S329" s="329">
        <f t="shared" si="30"/>
        <v>0</v>
      </c>
      <c r="T329" s="327">
        <f t="shared" si="31"/>
        <v>0</v>
      </c>
      <c r="U329" s="326">
        <f>T329*係数!$I$30</f>
        <v>0</v>
      </c>
      <c r="V329" s="326">
        <f>T329*係数!$C$30*0.0000258</f>
        <v>0</v>
      </c>
      <c r="W329" s="282">
        <f t="shared" si="32"/>
        <v>0</v>
      </c>
      <c r="X329" s="337">
        <f t="shared" si="33"/>
        <v>0</v>
      </c>
      <c r="Y329" s="244">
        <f t="shared" si="34"/>
        <v>0</v>
      </c>
    </row>
    <row r="330" spans="2:25">
      <c r="B330" s="59" t="s">
        <v>609</v>
      </c>
      <c r="C330" s="10"/>
      <c r="D330" s="3"/>
      <c r="E330" s="483"/>
      <c r="F330" s="35"/>
      <c r="G330" s="35"/>
      <c r="H330" s="51" t="s">
        <v>341</v>
      </c>
      <c r="I330" s="3"/>
      <c r="J330" s="331">
        <f t="shared" si="35"/>
        <v>0</v>
      </c>
      <c r="K330" s="331">
        <f t="shared" si="29"/>
        <v>0</v>
      </c>
      <c r="L330" s="326">
        <f>K330*係数!$I$30</f>
        <v>0</v>
      </c>
      <c r="M330" s="326">
        <f>K330*係数!$C$30*0.0000258</f>
        <v>0</v>
      </c>
      <c r="N330" s="10"/>
      <c r="O330" s="3"/>
      <c r="P330" s="483"/>
      <c r="Q330" s="51" t="s">
        <v>341</v>
      </c>
      <c r="R330" s="3"/>
      <c r="S330" s="329">
        <f t="shared" si="30"/>
        <v>0</v>
      </c>
      <c r="T330" s="327">
        <f t="shared" si="31"/>
        <v>0</v>
      </c>
      <c r="U330" s="326">
        <f>T330*係数!$I$30</f>
        <v>0</v>
      </c>
      <c r="V330" s="326">
        <f>T330*係数!$C$30*0.0000258</f>
        <v>0</v>
      </c>
      <c r="W330" s="282">
        <f t="shared" si="32"/>
        <v>0</v>
      </c>
      <c r="X330" s="337">
        <f t="shared" si="33"/>
        <v>0</v>
      </c>
      <c r="Y330" s="244">
        <f t="shared" si="34"/>
        <v>0</v>
      </c>
    </row>
    <row r="331" spans="2:25">
      <c r="B331" s="59" t="s">
        <v>610</v>
      </c>
      <c r="C331" s="10"/>
      <c r="D331" s="3"/>
      <c r="E331" s="483"/>
      <c r="F331" s="35"/>
      <c r="G331" s="35"/>
      <c r="H331" s="51" t="s">
        <v>341</v>
      </c>
      <c r="I331" s="3"/>
      <c r="J331" s="331">
        <f t="shared" si="35"/>
        <v>0</v>
      </c>
      <c r="K331" s="331">
        <f t="shared" si="29"/>
        <v>0</v>
      </c>
      <c r="L331" s="326">
        <f>K331*係数!$I$30</f>
        <v>0</v>
      </c>
      <c r="M331" s="326">
        <f>K331*係数!$C$30*0.0000258</f>
        <v>0</v>
      </c>
      <c r="N331" s="10"/>
      <c r="O331" s="3"/>
      <c r="P331" s="483"/>
      <c r="Q331" s="51" t="s">
        <v>341</v>
      </c>
      <c r="R331" s="3"/>
      <c r="S331" s="329">
        <f t="shared" si="30"/>
        <v>0</v>
      </c>
      <c r="T331" s="327">
        <f t="shared" si="31"/>
        <v>0</v>
      </c>
      <c r="U331" s="326">
        <f>T331*係数!$I$30</f>
        <v>0</v>
      </c>
      <c r="V331" s="326">
        <f>T331*係数!$C$30*0.0000258</f>
        <v>0</v>
      </c>
      <c r="W331" s="282">
        <f t="shared" si="32"/>
        <v>0</v>
      </c>
      <c r="X331" s="337">
        <f t="shared" si="33"/>
        <v>0</v>
      </c>
      <c r="Y331" s="244">
        <f t="shared" si="34"/>
        <v>0</v>
      </c>
    </row>
    <row r="332" spans="2:25">
      <c r="B332" s="59" t="s">
        <v>611</v>
      </c>
      <c r="C332" s="10"/>
      <c r="D332" s="3"/>
      <c r="E332" s="483"/>
      <c r="F332" s="35"/>
      <c r="G332" s="35"/>
      <c r="H332" s="51" t="s">
        <v>341</v>
      </c>
      <c r="I332" s="3"/>
      <c r="J332" s="331">
        <f t="shared" si="35"/>
        <v>0</v>
      </c>
      <c r="K332" s="331">
        <f t="shared" si="29"/>
        <v>0</v>
      </c>
      <c r="L332" s="326">
        <f>K332*係数!$I$30</f>
        <v>0</v>
      </c>
      <c r="M332" s="326">
        <f>K332*係数!$C$30*0.0000258</f>
        <v>0</v>
      </c>
      <c r="N332" s="10"/>
      <c r="O332" s="3"/>
      <c r="P332" s="483"/>
      <c r="Q332" s="51" t="s">
        <v>341</v>
      </c>
      <c r="R332" s="3"/>
      <c r="S332" s="329">
        <f t="shared" si="30"/>
        <v>0</v>
      </c>
      <c r="T332" s="327">
        <f t="shared" si="31"/>
        <v>0</v>
      </c>
      <c r="U332" s="326">
        <f>T332*係数!$I$30</f>
        <v>0</v>
      </c>
      <c r="V332" s="326">
        <f>T332*係数!$C$30*0.0000258</f>
        <v>0</v>
      </c>
      <c r="W332" s="282">
        <f t="shared" si="32"/>
        <v>0</v>
      </c>
      <c r="X332" s="337">
        <f t="shared" si="33"/>
        <v>0</v>
      </c>
      <c r="Y332" s="244">
        <f t="shared" si="34"/>
        <v>0</v>
      </c>
    </row>
    <row r="333" spans="2:25">
      <c r="B333" s="59" t="s">
        <v>612</v>
      </c>
      <c r="C333" s="10"/>
      <c r="D333" s="3"/>
      <c r="E333" s="483"/>
      <c r="F333" s="35"/>
      <c r="G333" s="35"/>
      <c r="H333" s="51" t="s">
        <v>341</v>
      </c>
      <c r="I333" s="3"/>
      <c r="J333" s="331">
        <f t="shared" si="35"/>
        <v>0</v>
      </c>
      <c r="K333" s="331">
        <f t="shared" si="29"/>
        <v>0</v>
      </c>
      <c r="L333" s="326">
        <f>K333*係数!$I$30</f>
        <v>0</v>
      </c>
      <c r="M333" s="326">
        <f>K333*係数!$C$30*0.0000258</f>
        <v>0</v>
      </c>
      <c r="N333" s="10"/>
      <c r="O333" s="3"/>
      <c r="P333" s="483"/>
      <c r="Q333" s="51" t="s">
        <v>341</v>
      </c>
      <c r="R333" s="3"/>
      <c r="S333" s="329">
        <f t="shared" si="30"/>
        <v>0</v>
      </c>
      <c r="T333" s="327">
        <f t="shared" si="31"/>
        <v>0</v>
      </c>
      <c r="U333" s="326">
        <f>T333*係数!$I$30</f>
        <v>0</v>
      </c>
      <c r="V333" s="326">
        <f>T333*係数!$C$30*0.0000258</f>
        <v>0</v>
      </c>
      <c r="W333" s="282">
        <f t="shared" si="32"/>
        <v>0</v>
      </c>
      <c r="X333" s="337">
        <f t="shared" si="33"/>
        <v>0</v>
      </c>
      <c r="Y333" s="244">
        <f t="shared" si="34"/>
        <v>0</v>
      </c>
    </row>
    <row r="334" spans="2:25">
      <c r="B334" s="59" t="s">
        <v>613</v>
      </c>
      <c r="C334" s="10"/>
      <c r="D334" s="3"/>
      <c r="E334" s="483"/>
      <c r="F334" s="35"/>
      <c r="G334" s="35"/>
      <c r="H334" s="51" t="s">
        <v>341</v>
      </c>
      <c r="I334" s="3"/>
      <c r="J334" s="331">
        <f t="shared" si="35"/>
        <v>0</v>
      </c>
      <c r="K334" s="331">
        <f t="shared" si="29"/>
        <v>0</v>
      </c>
      <c r="L334" s="326">
        <f>K334*係数!$I$30</f>
        <v>0</v>
      </c>
      <c r="M334" s="326">
        <f>K334*係数!$C$30*0.0000258</f>
        <v>0</v>
      </c>
      <c r="N334" s="10"/>
      <c r="O334" s="3"/>
      <c r="P334" s="483"/>
      <c r="Q334" s="51" t="s">
        <v>341</v>
      </c>
      <c r="R334" s="3"/>
      <c r="S334" s="329">
        <f t="shared" si="30"/>
        <v>0</v>
      </c>
      <c r="T334" s="327">
        <f t="shared" si="31"/>
        <v>0</v>
      </c>
      <c r="U334" s="326">
        <f>T334*係数!$I$30</f>
        <v>0</v>
      </c>
      <c r="V334" s="326">
        <f>T334*係数!$C$30*0.0000258</f>
        <v>0</v>
      </c>
      <c r="W334" s="282">
        <f t="shared" si="32"/>
        <v>0</v>
      </c>
      <c r="X334" s="337">
        <f t="shared" si="33"/>
        <v>0</v>
      </c>
      <c r="Y334" s="244">
        <f t="shared" si="34"/>
        <v>0</v>
      </c>
    </row>
    <row r="335" spans="2:25">
      <c r="B335" s="59" t="s">
        <v>614</v>
      </c>
      <c r="C335" s="10"/>
      <c r="D335" s="3"/>
      <c r="E335" s="483"/>
      <c r="F335" s="35"/>
      <c r="G335" s="35"/>
      <c r="H335" s="51" t="s">
        <v>341</v>
      </c>
      <c r="I335" s="3"/>
      <c r="J335" s="331">
        <f t="shared" si="35"/>
        <v>0</v>
      </c>
      <c r="K335" s="331">
        <f t="shared" si="29"/>
        <v>0</v>
      </c>
      <c r="L335" s="326">
        <f>K335*係数!$I$30</f>
        <v>0</v>
      </c>
      <c r="M335" s="326">
        <f>K335*係数!$C$30*0.0000258</f>
        <v>0</v>
      </c>
      <c r="N335" s="10"/>
      <c r="O335" s="3"/>
      <c r="P335" s="483"/>
      <c r="Q335" s="51" t="s">
        <v>341</v>
      </c>
      <c r="R335" s="3"/>
      <c r="S335" s="329">
        <f t="shared" si="30"/>
        <v>0</v>
      </c>
      <c r="T335" s="327">
        <f t="shared" si="31"/>
        <v>0</v>
      </c>
      <c r="U335" s="326">
        <f>T335*係数!$I$30</f>
        <v>0</v>
      </c>
      <c r="V335" s="326">
        <f>T335*係数!$C$30*0.0000258</f>
        <v>0</v>
      </c>
      <c r="W335" s="282">
        <f t="shared" si="32"/>
        <v>0</v>
      </c>
      <c r="X335" s="337">
        <f t="shared" si="33"/>
        <v>0</v>
      </c>
      <c r="Y335" s="244">
        <f t="shared" si="34"/>
        <v>0</v>
      </c>
    </row>
    <row r="336" spans="2:25">
      <c r="B336" s="59" t="s">
        <v>615</v>
      </c>
      <c r="C336" s="10"/>
      <c r="D336" s="3"/>
      <c r="E336" s="483"/>
      <c r="F336" s="35"/>
      <c r="G336" s="35"/>
      <c r="H336" s="51" t="s">
        <v>341</v>
      </c>
      <c r="I336" s="3"/>
      <c r="J336" s="331">
        <f t="shared" si="35"/>
        <v>0</v>
      </c>
      <c r="K336" s="331">
        <f t="shared" si="29"/>
        <v>0</v>
      </c>
      <c r="L336" s="326">
        <f>K336*係数!$I$30</f>
        <v>0</v>
      </c>
      <c r="M336" s="326">
        <f>K336*係数!$C$30*0.0000258</f>
        <v>0</v>
      </c>
      <c r="N336" s="10"/>
      <c r="O336" s="3"/>
      <c r="P336" s="483"/>
      <c r="Q336" s="51" t="s">
        <v>341</v>
      </c>
      <c r="R336" s="3"/>
      <c r="S336" s="329">
        <f t="shared" si="30"/>
        <v>0</v>
      </c>
      <c r="T336" s="327">
        <f t="shared" si="31"/>
        <v>0</v>
      </c>
      <c r="U336" s="326">
        <f>T336*係数!$I$30</f>
        <v>0</v>
      </c>
      <c r="V336" s="326">
        <f>T336*係数!$C$30*0.0000258</f>
        <v>0</v>
      </c>
      <c r="W336" s="282">
        <f t="shared" si="32"/>
        <v>0</v>
      </c>
      <c r="X336" s="337">
        <f t="shared" si="33"/>
        <v>0</v>
      </c>
      <c r="Y336" s="244">
        <f t="shared" si="34"/>
        <v>0</v>
      </c>
    </row>
    <row r="337" spans="2:25">
      <c r="B337" s="59" t="s">
        <v>616</v>
      </c>
      <c r="C337" s="10"/>
      <c r="D337" s="3"/>
      <c r="E337" s="483"/>
      <c r="F337" s="35"/>
      <c r="G337" s="35"/>
      <c r="H337" s="51" t="s">
        <v>341</v>
      </c>
      <c r="I337" s="3"/>
      <c r="J337" s="331">
        <f t="shared" si="35"/>
        <v>0</v>
      </c>
      <c r="K337" s="331">
        <f t="shared" si="29"/>
        <v>0</v>
      </c>
      <c r="L337" s="326">
        <f>K337*係数!$I$30</f>
        <v>0</v>
      </c>
      <c r="M337" s="326">
        <f>K337*係数!$C$30*0.0000258</f>
        <v>0</v>
      </c>
      <c r="N337" s="10"/>
      <c r="O337" s="3"/>
      <c r="P337" s="483"/>
      <c r="Q337" s="51" t="s">
        <v>341</v>
      </c>
      <c r="R337" s="3"/>
      <c r="S337" s="329">
        <f t="shared" si="30"/>
        <v>0</v>
      </c>
      <c r="T337" s="327">
        <f t="shared" si="31"/>
        <v>0</v>
      </c>
      <c r="U337" s="326">
        <f>T337*係数!$I$30</f>
        <v>0</v>
      </c>
      <c r="V337" s="326">
        <f>T337*係数!$C$30*0.0000258</f>
        <v>0</v>
      </c>
      <c r="W337" s="282">
        <f t="shared" si="32"/>
        <v>0</v>
      </c>
      <c r="X337" s="337">
        <f t="shared" si="33"/>
        <v>0</v>
      </c>
      <c r="Y337" s="244">
        <f t="shared" si="34"/>
        <v>0</v>
      </c>
    </row>
    <row r="338" spans="2:25">
      <c r="B338" s="59" t="s">
        <v>617</v>
      </c>
      <c r="C338" s="10"/>
      <c r="D338" s="3"/>
      <c r="E338" s="483"/>
      <c r="F338" s="35"/>
      <c r="G338" s="35"/>
      <c r="H338" s="51" t="s">
        <v>341</v>
      </c>
      <c r="I338" s="3"/>
      <c r="J338" s="331">
        <f t="shared" si="35"/>
        <v>0</v>
      </c>
      <c r="K338" s="331">
        <f t="shared" si="29"/>
        <v>0</v>
      </c>
      <c r="L338" s="326">
        <f>K338*係数!$I$30</f>
        <v>0</v>
      </c>
      <c r="M338" s="326">
        <f>K338*係数!$C$30*0.0000258</f>
        <v>0</v>
      </c>
      <c r="N338" s="10"/>
      <c r="O338" s="3"/>
      <c r="P338" s="483"/>
      <c r="Q338" s="51" t="s">
        <v>341</v>
      </c>
      <c r="R338" s="3"/>
      <c r="S338" s="329">
        <f t="shared" si="30"/>
        <v>0</v>
      </c>
      <c r="T338" s="327">
        <f t="shared" si="31"/>
        <v>0</v>
      </c>
      <c r="U338" s="326">
        <f>T338*係数!$I$30</f>
        <v>0</v>
      </c>
      <c r="V338" s="326">
        <f>T338*係数!$C$30*0.0000258</f>
        <v>0</v>
      </c>
      <c r="W338" s="282">
        <f t="shared" si="32"/>
        <v>0</v>
      </c>
      <c r="X338" s="337">
        <f t="shared" si="33"/>
        <v>0</v>
      </c>
      <c r="Y338" s="244">
        <f t="shared" si="34"/>
        <v>0</v>
      </c>
    </row>
    <row r="339" spans="2:25">
      <c r="B339" s="59" t="s">
        <v>618</v>
      </c>
      <c r="C339" s="10"/>
      <c r="D339" s="3"/>
      <c r="E339" s="483"/>
      <c r="F339" s="35"/>
      <c r="G339" s="35"/>
      <c r="H339" s="51" t="s">
        <v>341</v>
      </c>
      <c r="I339" s="3"/>
      <c r="J339" s="331">
        <f t="shared" si="35"/>
        <v>0</v>
      </c>
      <c r="K339" s="331">
        <f t="shared" si="29"/>
        <v>0</v>
      </c>
      <c r="L339" s="326">
        <f>K339*係数!$I$30</f>
        <v>0</v>
      </c>
      <c r="M339" s="326">
        <f>K339*係数!$C$30*0.0000258</f>
        <v>0</v>
      </c>
      <c r="N339" s="10"/>
      <c r="O339" s="3"/>
      <c r="P339" s="483"/>
      <c r="Q339" s="51" t="s">
        <v>341</v>
      </c>
      <c r="R339" s="3"/>
      <c r="S339" s="329">
        <f t="shared" si="30"/>
        <v>0</v>
      </c>
      <c r="T339" s="327">
        <f t="shared" si="31"/>
        <v>0</v>
      </c>
      <c r="U339" s="326">
        <f>T339*係数!$I$30</f>
        <v>0</v>
      </c>
      <c r="V339" s="326">
        <f>T339*係数!$C$30*0.0000258</f>
        <v>0</v>
      </c>
      <c r="W339" s="282">
        <f t="shared" si="32"/>
        <v>0</v>
      </c>
      <c r="X339" s="337">
        <f t="shared" si="33"/>
        <v>0</v>
      </c>
      <c r="Y339" s="244">
        <f t="shared" si="34"/>
        <v>0</v>
      </c>
    </row>
    <row r="340" spans="2:25">
      <c r="B340" s="59" t="s">
        <v>619</v>
      </c>
      <c r="C340" s="10"/>
      <c r="D340" s="3"/>
      <c r="E340" s="483"/>
      <c r="F340" s="35"/>
      <c r="G340" s="35"/>
      <c r="H340" s="51" t="s">
        <v>341</v>
      </c>
      <c r="I340" s="3"/>
      <c r="J340" s="331">
        <f t="shared" si="35"/>
        <v>0</v>
      </c>
      <c r="K340" s="331">
        <f t="shared" si="29"/>
        <v>0</v>
      </c>
      <c r="L340" s="326">
        <f>K340*係数!$I$30</f>
        <v>0</v>
      </c>
      <c r="M340" s="326">
        <f>K340*係数!$C$30*0.0000258</f>
        <v>0</v>
      </c>
      <c r="N340" s="10"/>
      <c r="O340" s="3"/>
      <c r="P340" s="483"/>
      <c r="Q340" s="51" t="s">
        <v>341</v>
      </c>
      <c r="R340" s="3"/>
      <c r="S340" s="329">
        <f t="shared" si="30"/>
        <v>0</v>
      </c>
      <c r="T340" s="327">
        <f t="shared" si="31"/>
        <v>0</v>
      </c>
      <c r="U340" s="326">
        <f>T340*係数!$I$30</f>
        <v>0</v>
      </c>
      <c r="V340" s="326">
        <f>T340*係数!$C$30*0.0000258</f>
        <v>0</v>
      </c>
      <c r="W340" s="282">
        <f t="shared" si="32"/>
        <v>0</v>
      </c>
      <c r="X340" s="337">
        <f t="shared" si="33"/>
        <v>0</v>
      </c>
      <c r="Y340" s="244">
        <f t="shared" si="34"/>
        <v>0</v>
      </c>
    </row>
    <row r="341" spans="2:25">
      <c r="B341" s="59" t="s">
        <v>620</v>
      </c>
      <c r="C341" s="10"/>
      <c r="D341" s="3"/>
      <c r="E341" s="483"/>
      <c r="F341" s="35"/>
      <c r="G341" s="35"/>
      <c r="H341" s="51" t="s">
        <v>341</v>
      </c>
      <c r="I341" s="3"/>
      <c r="J341" s="331">
        <f t="shared" si="35"/>
        <v>0</v>
      </c>
      <c r="K341" s="331">
        <f t="shared" ref="K341:K404" si="36">E341*D341*J341/1000</f>
        <v>0</v>
      </c>
      <c r="L341" s="326">
        <f>K341*係数!$I$30</f>
        <v>0</v>
      </c>
      <c r="M341" s="326">
        <f>K341*係数!$C$30*0.0000258</f>
        <v>0</v>
      </c>
      <c r="N341" s="10"/>
      <c r="O341" s="3"/>
      <c r="P341" s="483"/>
      <c r="Q341" s="51" t="s">
        <v>341</v>
      </c>
      <c r="R341" s="3"/>
      <c r="S341" s="329">
        <f t="shared" ref="S341:S404" si="37">IF(Q341="○",F341*G341*R341/100,F341*G341)</f>
        <v>0</v>
      </c>
      <c r="T341" s="327">
        <f t="shared" ref="T341:T404" si="38">P341*O341*S341/1000</f>
        <v>0</v>
      </c>
      <c r="U341" s="326">
        <f>T341*係数!$I$30</f>
        <v>0</v>
      </c>
      <c r="V341" s="326">
        <f>T341*係数!$C$30*0.0000258</f>
        <v>0</v>
      </c>
      <c r="W341" s="282">
        <f t="shared" ref="W341:W404" si="39">K341-T341</f>
        <v>0</v>
      </c>
      <c r="X341" s="337">
        <f t="shared" ref="X341:X404" si="40">L341-U341</f>
        <v>0</v>
      </c>
      <c r="Y341" s="244">
        <f t="shared" ref="Y341:Y404" si="41">M341-V341</f>
        <v>0</v>
      </c>
    </row>
    <row r="342" spans="2:25">
      <c r="B342" s="59" t="s">
        <v>621</v>
      </c>
      <c r="C342" s="10"/>
      <c r="D342" s="3"/>
      <c r="E342" s="483"/>
      <c r="F342" s="35"/>
      <c r="G342" s="35"/>
      <c r="H342" s="51" t="s">
        <v>341</v>
      </c>
      <c r="I342" s="3"/>
      <c r="J342" s="331">
        <f t="shared" ref="J342:J405" si="42">IF(H342="○",F342*G342*I342/100,F342*G342)</f>
        <v>0</v>
      </c>
      <c r="K342" s="331">
        <f t="shared" si="36"/>
        <v>0</v>
      </c>
      <c r="L342" s="326">
        <f>K342*係数!$I$30</f>
        <v>0</v>
      </c>
      <c r="M342" s="326">
        <f>K342*係数!$C$30*0.0000258</f>
        <v>0</v>
      </c>
      <c r="N342" s="10"/>
      <c r="O342" s="3"/>
      <c r="P342" s="483"/>
      <c r="Q342" s="51" t="s">
        <v>341</v>
      </c>
      <c r="R342" s="3"/>
      <c r="S342" s="329">
        <f t="shared" si="37"/>
        <v>0</v>
      </c>
      <c r="T342" s="327">
        <f t="shared" si="38"/>
        <v>0</v>
      </c>
      <c r="U342" s="326">
        <f>T342*係数!$I$30</f>
        <v>0</v>
      </c>
      <c r="V342" s="326">
        <f>T342*係数!$C$30*0.0000258</f>
        <v>0</v>
      </c>
      <c r="W342" s="282">
        <f t="shared" si="39"/>
        <v>0</v>
      </c>
      <c r="X342" s="337">
        <f t="shared" si="40"/>
        <v>0</v>
      </c>
      <c r="Y342" s="244">
        <f t="shared" si="41"/>
        <v>0</v>
      </c>
    </row>
    <row r="343" spans="2:25">
      <c r="B343" s="59" t="s">
        <v>622</v>
      </c>
      <c r="C343" s="10"/>
      <c r="D343" s="3"/>
      <c r="E343" s="483"/>
      <c r="F343" s="35"/>
      <c r="G343" s="35"/>
      <c r="H343" s="51" t="s">
        <v>341</v>
      </c>
      <c r="I343" s="3"/>
      <c r="J343" s="331">
        <f t="shared" si="42"/>
        <v>0</v>
      </c>
      <c r="K343" s="331">
        <f t="shared" si="36"/>
        <v>0</v>
      </c>
      <c r="L343" s="326">
        <f>K343*係数!$I$30</f>
        <v>0</v>
      </c>
      <c r="M343" s="326">
        <f>K343*係数!$C$30*0.0000258</f>
        <v>0</v>
      </c>
      <c r="N343" s="10"/>
      <c r="O343" s="3"/>
      <c r="P343" s="483"/>
      <c r="Q343" s="51" t="s">
        <v>341</v>
      </c>
      <c r="R343" s="3"/>
      <c r="S343" s="329">
        <f t="shared" si="37"/>
        <v>0</v>
      </c>
      <c r="T343" s="327">
        <f t="shared" si="38"/>
        <v>0</v>
      </c>
      <c r="U343" s="326">
        <f>T343*係数!$I$30</f>
        <v>0</v>
      </c>
      <c r="V343" s="326">
        <f>T343*係数!$C$30*0.0000258</f>
        <v>0</v>
      </c>
      <c r="W343" s="282">
        <f t="shared" si="39"/>
        <v>0</v>
      </c>
      <c r="X343" s="337">
        <f t="shared" si="40"/>
        <v>0</v>
      </c>
      <c r="Y343" s="244">
        <f t="shared" si="41"/>
        <v>0</v>
      </c>
    </row>
    <row r="344" spans="2:25">
      <c r="B344" s="59" t="s">
        <v>623</v>
      </c>
      <c r="C344" s="10"/>
      <c r="D344" s="3"/>
      <c r="E344" s="483"/>
      <c r="F344" s="35"/>
      <c r="G344" s="35"/>
      <c r="H344" s="51" t="s">
        <v>341</v>
      </c>
      <c r="I344" s="3"/>
      <c r="J344" s="331">
        <f t="shared" si="42"/>
        <v>0</v>
      </c>
      <c r="K344" s="331">
        <f t="shared" si="36"/>
        <v>0</v>
      </c>
      <c r="L344" s="326">
        <f>K344*係数!$I$30</f>
        <v>0</v>
      </c>
      <c r="M344" s="326">
        <f>K344*係数!$C$30*0.0000258</f>
        <v>0</v>
      </c>
      <c r="N344" s="10"/>
      <c r="O344" s="3"/>
      <c r="P344" s="483"/>
      <c r="Q344" s="51" t="s">
        <v>341</v>
      </c>
      <c r="R344" s="3"/>
      <c r="S344" s="329">
        <f t="shared" si="37"/>
        <v>0</v>
      </c>
      <c r="T344" s="327">
        <f t="shared" si="38"/>
        <v>0</v>
      </c>
      <c r="U344" s="326">
        <f>T344*係数!$I$30</f>
        <v>0</v>
      </c>
      <c r="V344" s="326">
        <f>T344*係数!$C$30*0.0000258</f>
        <v>0</v>
      </c>
      <c r="W344" s="282">
        <f t="shared" si="39"/>
        <v>0</v>
      </c>
      <c r="X344" s="337">
        <f t="shared" si="40"/>
        <v>0</v>
      </c>
      <c r="Y344" s="244">
        <f t="shared" si="41"/>
        <v>0</v>
      </c>
    </row>
    <row r="345" spans="2:25">
      <c r="B345" s="59" t="s">
        <v>624</v>
      </c>
      <c r="C345" s="10"/>
      <c r="D345" s="3"/>
      <c r="E345" s="483"/>
      <c r="F345" s="35"/>
      <c r="G345" s="35"/>
      <c r="H345" s="51" t="s">
        <v>341</v>
      </c>
      <c r="I345" s="3"/>
      <c r="J345" s="331">
        <f t="shared" si="42"/>
        <v>0</v>
      </c>
      <c r="K345" s="331">
        <f t="shared" si="36"/>
        <v>0</v>
      </c>
      <c r="L345" s="326">
        <f>K345*係数!$I$30</f>
        <v>0</v>
      </c>
      <c r="M345" s="326">
        <f>K345*係数!$C$30*0.0000258</f>
        <v>0</v>
      </c>
      <c r="N345" s="10"/>
      <c r="O345" s="3"/>
      <c r="P345" s="483"/>
      <c r="Q345" s="51" t="s">
        <v>341</v>
      </c>
      <c r="R345" s="3"/>
      <c r="S345" s="329">
        <f t="shared" si="37"/>
        <v>0</v>
      </c>
      <c r="T345" s="327">
        <f t="shared" si="38"/>
        <v>0</v>
      </c>
      <c r="U345" s="326">
        <f>T345*係数!$I$30</f>
        <v>0</v>
      </c>
      <c r="V345" s="326">
        <f>T345*係数!$C$30*0.0000258</f>
        <v>0</v>
      </c>
      <c r="W345" s="282">
        <f t="shared" si="39"/>
        <v>0</v>
      </c>
      <c r="X345" s="337">
        <f t="shared" si="40"/>
        <v>0</v>
      </c>
      <c r="Y345" s="244">
        <f t="shared" si="41"/>
        <v>0</v>
      </c>
    </row>
    <row r="346" spans="2:25">
      <c r="B346" s="59" t="s">
        <v>625</v>
      </c>
      <c r="C346" s="10"/>
      <c r="D346" s="3"/>
      <c r="E346" s="483"/>
      <c r="F346" s="35"/>
      <c r="G346" s="35"/>
      <c r="H346" s="51" t="s">
        <v>341</v>
      </c>
      <c r="I346" s="3"/>
      <c r="J346" s="331">
        <f t="shared" si="42"/>
        <v>0</v>
      </c>
      <c r="K346" s="331">
        <f t="shared" si="36"/>
        <v>0</v>
      </c>
      <c r="L346" s="326">
        <f>K346*係数!$I$30</f>
        <v>0</v>
      </c>
      <c r="M346" s="326">
        <f>K346*係数!$C$30*0.0000258</f>
        <v>0</v>
      </c>
      <c r="N346" s="10"/>
      <c r="O346" s="3"/>
      <c r="P346" s="483"/>
      <c r="Q346" s="51" t="s">
        <v>341</v>
      </c>
      <c r="R346" s="3"/>
      <c r="S346" s="329">
        <f t="shared" si="37"/>
        <v>0</v>
      </c>
      <c r="T346" s="327">
        <f t="shared" si="38"/>
        <v>0</v>
      </c>
      <c r="U346" s="326">
        <f>T346*係数!$I$30</f>
        <v>0</v>
      </c>
      <c r="V346" s="326">
        <f>T346*係数!$C$30*0.0000258</f>
        <v>0</v>
      </c>
      <c r="W346" s="282">
        <f t="shared" si="39"/>
        <v>0</v>
      </c>
      <c r="X346" s="337">
        <f t="shared" si="40"/>
        <v>0</v>
      </c>
      <c r="Y346" s="244">
        <f t="shared" si="41"/>
        <v>0</v>
      </c>
    </row>
    <row r="347" spans="2:25">
      <c r="B347" s="59" t="s">
        <v>626</v>
      </c>
      <c r="C347" s="10"/>
      <c r="D347" s="3"/>
      <c r="E347" s="483"/>
      <c r="F347" s="35"/>
      <c r="G347" s="35"/>
      <c r="H347" s="51" t="s">
        <v>341</v>
      </c>
      <c r="I347" s="3"/>
      <c r="J347" s="331">
        <f t="shared" si="42"/>
        <v>0</v>
      </c>
      <c r="K347" s="331">
        <f t="shared" si="36"/>
        <v>0</v>
      </c>
      <c r="L347" s="326">
        <f>K347*係数!$I$30</f>
        <v>0</v>
      </c>
      <c r="M347" s="326">
        <f>K347*係数!$C$30*0.0000258</f>
        <v>0</v>
      </c>
      <c r="N347" s="10"/>
      <c r="O347" s="3"/>
      <c r="P347" s="483"/>
      <c r="Q347" s="51" t="s">
        <v>341</v>
      </c>
      <c r="R347" s="3"/>
      <c r="S347" s="329">
        <f t="shared" si="37"/>
        <v>0</v>
      </c>
      <c r="T347" s="327">
        <f t="shared" si="38"/>
        <v>0</v>
      </c>
      <c r="U347" s="326">
        <f>T347*係数!$I$30</f>
        <v>0</v>
      </c>
      <c r="V347" s="326">
        <f>T347*係数!$C$30*0.0000258</f>
        <v>0</v>
      </c>
      <c r="W347" s="282">
        <f t="shared" si="39"/>
        <v>0</v>
      </c>
      <c r="X347" s="337">
        <f t="shared" si="40"/>
        <v>0</v>
      </c>
      <c r="Y347" s="244">
        <f t="shared" si="41"/>
        <v>0</v>
      </c>
    </row>
    <row r="348" spans="2:25">
      <c r="B348" s="59" t="s">
        <v>627</v>
      </c>
      <c r="C348" s="10"/>
      <c r="D348" s="3"/>
      <c r="E348" s="483"/>
      <c r="F348" s="35"/>
      <c r="G348" s="35"/>
      <c r="H348" s="51" t="s">
        <v>341</v>
      </c>
      <c r="I348" s="3"/>
      <c r="J348" s="331">
        <f t="shared" si="42"/>
        <v>0</v>
      </c>
      <c r="K348" s="331">
        <f t="shared" si="36"/>
        <v>0</v>
      </c>
      <c r="L348" s="326">
        <f>K348*係数!$I$30</f>
        <v>0</v>
      </c>
      <c r="M348" s="326">
        <f>K348*係数!$C$30*0.0000258</f>
        <v>0</v>
      </c>
      <c r="N348" s="10"/>
      <c r="O348" s="3"/>
      <c r="P348" s="483"/>
      <c r="Q348" s="51" t="s">
        <v>341</v>
      </c>
      <c r="R348" s="3"/>
      <c r="S348" s="329">
        <f t="shared" si="37"/>
        <v>0</v>
      </c>
      <c r="T348" s="327">
        <f t="shared" si="38"/>
        <v>0</v>
      </c>
      <c r="U348" s="326">
        <f>T348*係数!$I$30</f>
        <v>0</v>
      </c>
      <c r="V348" s="326">
        <f>T348*係数!$C$30*0.0000258</f>
        <v>0</v>
      </c>
      <c r="W348" s="282">
        <f t="shared" si="39"/>
        <v>0</v>
      </c>
      <c r="X348" s="337">
        <f t="shared" si="40"/>
        <v>0</v>
      </c>
      <c r="Y348" s="244">
        <f t="shared" si="41"/>
        <v>0</v>
      </c>
    </row>
    <row r="349" spans="2:25">
      <c r="B349" s="59" t="s">
        <v>628</v>
      </c>
      <c r="C349" s="10"/>
      <c r="D349" s="3"/>
      <c r="E349" s="483"/>
      <c r="F349" s="35"/>
      <c r="G349" s="35"/>
      <c r="H349" s="51" t="s">
        <v>341</v>
      </c>
      <c r="I349" s="3"/>
      <c r="J349" s="331">
        <f t="shared" si="42"/>
        <v>0</v>
      </c>
      <c r="K349" s="331">
        <f t="shared" si="36"/>
        <v>0</v>
      </c>
      <c r="L349" s="326">
        <f>K349*係数!$I$30</f>
        <v>0</v>
      </c>
      <c r="M349" s="326">
        <f>K349*係数!$C$30*0.0000258</f>
        <v>0</v>
      </c>
      <c r="N349" s="10"/>
      <c r="O349" s="3"/>
      <c r="P349" s="483"/>
      <c r="Q349" s="51" t="s">
        <v>341</v>
      </c>
      <c r="R349" s="3"/>
      <c r="S349" s="329">
        <f t="shared" si="37"/>
        <v>0</v>
      </c>
      <c r="T349" s="327">
        <f t="shared" si="38"/>
        <v>0</v>
      </c>
      <c r="U349" s="326">
        <f>T349*係数!$I$30</f>
        <v>0</v>
      </c>
      <c r="V349" s="326">
        <f>T349*係数!$C$30*0.0000258</f>
        <v>0</v>
      </c>
      <c r="W349" s="282">
        <f t="shared" si="39"/>
        <v>0</v>
      </c>
      <c r="X349" s="337">
        <f t="shared" si="40"/>
        <v>0</v>
      </c>
      <c r="Y349" s="244">
        <f t="shared" si="41"/>
        <v>0</v>
      </c>
    </row>
    <row r="350" spans="2:25">
      <c r="B350" s="59" t="s">
        <v>629</v>
      </c>
      <c r="C350" s="10"/>
      <c r="D350" s="3"/>
      <c r="E350" s="483"/>
      <c r="F350" s="35"/>
      <c r="G350" s="35"/>
      <c r="H350" s="51" t="s">
        <v>341</v>
      </c>
      <c r="I350" s="3"/>
      <c r="J350" s="331">
        <f t="shared" si="42"/>
        <v>0</v>
      </c>
      <c r="K350" s="331">
        <f t="shared" si="36"/>
        <v>0</v>
      </c>
      <c r="L350" s="326">
        <f>K350*係数!$I$30</f>
        <v>0</v>
      </c>
      <c r="M350" s="326">
        <f>K350*係数!$C$30*0.0000258</f>
        <v>0</v>
      </c>
      <c r="N350" s="10"/>
      <c r="O350" s="3"/>
      <c r="P350" s="483"/>
      <c r="Q350" s="51" t="s">
        <v>341</v>
      </c>
      <c r="R350" s="3"/>
      <c r="S350" s="329">
        <f t="shared" si="37"/>
        <v>0</v>
      </c>
      <c r="T350" s="327">
        <f t="shared" si="38"/>
        <v>0</v>
      </c>
      <c r="U350" s="326">
        <f>T350*係数!$I$30</f>
        <v>0</v>
      </c>
      <c r="V350" s="326">
        <f>T350*係数!$C$30*0.0000258</f>
        <v>0</v>
      </c>
      <c r="W350" s="282">
        <f t="shared" si="39"/>
        <v>0</v>
      </c>
      <c r="X350" s="337">
        <f t="shared" si="40"/>
        <v>0</v>
      </c>
      <c r="Y350" s="244">
        <f t="shared" si="41"/>
        <v>0</v>
      </c>
    </row>
    <row r="351" spans="2:25">
      <c r="B351" s="59" t="s">
        <v>630</v>
      </c>
      <c r="C351" s="10"/>
      <c r="D351" s="3"/>
      <c r="E351" s="483"/>
      <c r="F351" s="35"/>
      <c r="G351" s="35"/>
      <c r="H351" s="51" t="s">
        <v>341</v>
      </c>
      <c r="I351" s="3"/>
      <c r="J351" s="331">
        <f t="shared" si="42"/>
        <v>0</v>
      </c>
      <c r="K351" s="331">
        <f t="shared" si="36"/>
        <v>0</v>
      </c>
      <c r="L351" s="326">
        <f>K351*係数!$I$30</f>
        <v>0</v>
      </c>
      <c r="M351" s="326">
        <f>K351*係数!$C$30*0.0000258</f>
        <v>0</v>
      </c>
      <c r="N351" s="10"/>
      <c r="O351" s="3"/>
      <c r="P351" s="483"/>
      <c r="Q351" s="51" t="s">
        <v>341</v>
      </c>
      <c r="R351" s="3"/>
      <c r="S351" s="329">
        <f t="shared" si="37"/>
        <v>0</v>
      </c>
      <c r="T351" s="327">
        <f t="shared" si="38"/>
        <v>0</v>
      </c>
      <c r="U351" s="326">
        <f>T351*係数!$I$30</f>
        <v>0</v>
      </c>
      <c r="V351" s="326">
        <f>T351*係数!$C$30*0.0000258</f>
        <v>0</v>
      </c>
      <c r="W351" s="282">
        <f t="shared" si="39"/>
        <v>0</v>
      </c>
      <c r="X351" s="337">
        <f t="shared" si="40"/>
        <v>0</v>
      </c>
      <c r="Y351" s="244">
        <f t="shared" si="41"/>
        <v>0</v>
      </c>
    </row>
    <row r="352" spans="2:25">
      <c r="B352" s="59" t="s">
        <v>631</v>
      </c>
      <c r="C352" s="10"/>
      <c r="D352" s="3"/>
      <c r="E352" s="483"/>
      <c r="F352" s="35"/>
      <c r="G352" s="35"/>
      <c r="H352" s="51" t="s">
        <v>341</v>
      </c>
      <c r="I352" s="3"/>
      <c r="J352" s="331">
        <f t="shared" si="42"/>
        <v>0</v>
      </c>
      <c r="K352" s="331">
        <f t="shared" si="36"/>
        <v>0</v>
      </c>
      <c r="L352" s="326">
        <f>K352*係数!$I$30</f>
        <v>0</v>
      </c>
      <c r="M352" s="326">
        <f>K352*係数!$C$30*0.0000258</f>
        <v>0</v>
      </c>
      <c r="N352" s="10"/>
      <c r="O352" s="3"/>
      <c r="P352" s="483"/>
      <c r="Q352" s="51" t="s">
        <v>341</v>
      </c>
      <c r="R352" s="3"/>
      <c r="S352" s="329">
        <f t="shared" si="37"/>
        <v>0</v>
      </c>
      <c r="T352" s="327">
        <f t="shared" si="38"/>
        <v>0</v>
      </c>
      <c r="U352" s="326">
        <f>T352*係数!$I$30</f>
        <v>0</v>
      </c>
      <c r="V352" s="326">
        <f>T352*係数!$C$30*0.0000258</f>
        <v>0</v>
      </c>
      <c r="W352" s="282">
        <f t="shared" si="39"/>
        <v>0</v>
      </c>
      <c r="X352" s="337">
        <f t="shared" si="40"/>
        <v>0</v>
      </c>
      <c r="Y352" s="244">
        <f t="shared" si="41"/>
        <v>0</v>
      </c>
    </row>
    <row r="353" spans="2:25">
      <c r="B353" s="59" t="s">
        <v>632</v>
      </c>
      <c r="C353" s="10"/>
      <c r="D353" s="3"/>
      <c r="E353" s="483"/>
      <c r="F353" s="35"/>
      <c r="G353" s="35"/>
      <c r="H353" s="51" t="s">
        <v>341</v>
      </c>
      <c r="I353" s="3"/>
      <c r="J353" s="331">
        <f t="shared" si="42"/>
        <v>0</v>
      </c>
      <c r="K353" s="331">
        <f t="shared" si="36"/>
        <v>0</v>
      </c>
      <c r="L353" s="326">
        <f>K353*係数!$I$30</f>
        <v>0</v>
      </c>
      <c r="M353" s="326">
        <f>K353*係数!$C$30*0.0000258</f>
        <v>0</v>
      </c>
      <c r="N353" s="10"/>
      <c r="O353" s="3"/>
      <c r="P353" s="483"/>
      <c r="Q353" s="51" t="s">
        <v>341</v>
      </c>
      <c r="R353" s="3"/>
      <c r="S353" s="329">
        <f t="shared" si="37"/>
        <v>0</v>
      </c>
      <c r="T353" s="327">
        <f t="shared" si="38"/>
        <v>0</v>
      </c>
      <c r="U353" s="326">
        <f>T353*係数!$I$30</f>
        <v>0</v>
      </c>
      <c r="V353" s="326">
        <f>T353*係数!$C$30*0.0000258</f>
        <v>0</v>
      </c>
      <c r="W353" s="282">
        <f t="shared" si="39"/>
        <v>0</v>
      </c>
      <c r="X353" s="337">
        <f t="shared" si="40"/>
        <v>0</v>
      </c>
      <c r="Y353" s="244">
        <f t="shared" si="41"/>
        <v>0</v>
      </c>
    </row>
    <row r="354" spans="2:25">
      <c r="B354" s="59" t="s">
        <v>633</v>
      </c>
      <c r="C354" s="10"/>
      <c r="D354" s="3"/>
      <c r="E354" s="483"/>
      <c r="F354" s="35"/>
      <c r="G354" s="35"/>
      <c r="H354" s="51" t="s">
        <v>341</v>
      </c>
      <c r="I354" s="3"/>
      <c r="J354" s="331">
        <f t="shared" si="42"/>
        <v>0</v>
      </c>
      <c r="K354" s="331">
        <f t="shared" si="36"/>
        <v>0</v>
      </c>
      <c r="L354" s="326">
        <f>K354*係数!$I$30</f>
        <v>0</v>
      </c>
      <c r="M354" s="326">
        <f>K354*係数!$C$30*0.0000258</f>
        <v>0</v>
      </c>
      <c r="N354" s="10"/>
      <c r="O354" s="3"/>
      <c r="P354" s="483"/>
      <c r="Q354" s="51" t="s">
        <v>341</v>
      </c>
      <c r="R354" s="3"/>
      <c r="S354" s="329">
        <f t="shared" si="37"/>
        <v>0</v>
      </c>
      <c r="T354" s="327">
        <f t="shared" si="38"/>
        <v>0</v>
      </c>
      <c r="U354" s="326">
        <f>T354*係数!$I$30</f>
        <v>0</v>
      </c>
      <c r="V354" s="326">
        <f>T354*係数!$C$30*0.0000258</f>
        <v>0</v>
      </c>
      <c r="W354" s="282">
        <f t="shared" si="39"/>
        <v>0</v>
      </c>
      <c r="X354" s="337">
        <f t="shared" si="40"/>
        <v>0</v>
      </c>
      <c r="Y354" s="244">
        <f t="shared" si="41"/>
        <v>0</v>
      </c>
    </row>
    <row r="355" spans="2:25">
      <c r="B355" s="59" t="s">
        <v>634</v>
      </c>
      <c r="C355" s="10"/>
      <c r="D355" s="3"/>
      <c r="E355" s="483"/>
      <c r="F355" s="35"/>
      <c r="G355" s="35"/>
      <c r="H355" s="51" t="s">
        <v>341</v>
      </c>
      <c r="I355" s="3"/>
      <c r="J355" s="331">
        <f t="shared" si="42"/>
        <v>0</v>
      </c>
      <c r="K355" s="331">
        <f t="shared" si="36"/>
        <v>0</v>
      </c>
      <c r="L355" s="326">
        <f>K355*係数!$I$30</f>
        <v>0</v>
      </c>
      <c r="M355" s="326">
        <f>K355*係数!$C$30*0.0000258</f>
        <v>0</v>
      </c>
      <c r="N355" s="10"/>
      <c r="O355" s="3"/>
      <c r="P355" s="483"/>
      <c r="Q355" s="51" t="s">
        <v>341</v>
      </c>
      <c r="R355" s="3"/>
      <c r="S355" s="329">
        <f t="shared" si="37"/>
        <v>0</v>
      </c>
      <c r="T355" s="327">
        <f t="shared" si="38"/>
        <v>0</v>
      </c>
      <c r="U355" s="326">
        <f>T355*係数!$I$30</f>
        <v>0</v>
      </c>
      <c r="V355" s="326">
        <f>T355*係数!$C$30*0.0000258</f>
        <v>0</v>
      </c>
      <c r="W355" s="282">
        <f t="shared" si="39"/>
        <v>0</v>
      </c>
      <c r="X355" s="337">
        <f t="shared" si="40"/>
        <v>0</v>
      </c>
      <c r="Y355" s="244">
        <f t="shared" si="41"/>
        <v>0</v>
      </c>
    </row>
    <row r="356" spans="2:25">
      <c r="B356" s="59" t="s">
        <v>635</v>
      </c>
      <c r="C356" s="10"/>
      <c r="D356" s="3"/>
      <c r="E356" s="483"/>
      <c r="F356" s="35"/>
      <c r="G356" s="35"/>
      <c r="H356" s="51" t="s">
        <v>341</v>
      </c>
      <c r="I356" s="3"/>
      <c r="J356" s="331">
        <f t="shared" si="42"/>
        <v>0</v>
      </c>
      <c r="K356" s="331">
        <f t="shared" si="36"/>
        <v>0</v>
      </c>
      <c r="L356" s="326">
        <f>K356*係数!$I$30</f>
        <v>0</v>
      </c>
      <c r="M356" s="326">
        <f>K356*係数!$C$30*0.0000258</f>
        <v>0</v>
      </c>
      <c r="N356" s="10"/>
      <c r="O356" s="3"/>
      <c r="P356" s="483"/>
      <c r="Q356" s="51" t="s">
        <v>341</v>
      </c>
      <c r="R356" s="3"/>
      <c r="S356" s="329">
        <f t="shared" si="37"/>
        <v>0</v>
      </c>
      <c r="T356" s="327">
        <f t="shared" si="38"/>
        <v>0</v>
      </c>
      <c r="U356" s="326">
        <f>T356*係数!$I$30</f>
        <v>0</v>
      </c>
      <c r="V356" s="326">
        <f>T356*係数!$C$30*0.0000258</f>
        <v>0</v>
      </c>
      <c r="W356" s="282">
        <f t="shared" si="39"/>
        <v>0</v>
      </c>
      <c r="X356" s="337">
        <f t="shared" si="40"/>
        <v>0</v>
      </c>
      <c r="Y356" s="244">
        <f t="shared" si="41"/>
        <v>0</v>
      </c>
    </row>
    <row r="357" spans="2:25">
      <c r="B357" s="59" t="s">
        <v>636</v>
      </c>
      <c r="C357" s="10"/>
      <c r="D357" s="3"/>
      <c r="E357" s="483"/>
      <c r="F357" s="35"/>
      <c r="G357" s="35"/>
      <c r="H357" s="51" t="s">
        <v>341</v>
      </c>
      <c r="I357" s="3"/>
      <c r="J357" s="331">
        <f t="shared" si="42"/>
        <v>0</v>
      </c>
      <c r="K357" s="331">
        <f t="shared" si="36"/>
        <v>0</v>
      </c>
      <c r="L357" s="326">
        <f>K357*係数!$I$30</f>
        <v>0</v>
      </c>
      <c r="M357" s="326">
        <f>K357*係数!$C$30*0.0000258</f>
        <v>0</v>
      </c>
      <c r="N357" s="10"/>
      <c r="O357" s="3"/>
      <c r="P357" s="483"/>
      <c r="Q357" s="51" t="s">
        <v>341</v>
      </c>
      <c r="R357" s="3"/>
      <c r="S357" s="329">
        <f t="shared" si="37"/>
        <v>0</v>
      </c>
      <c r="T357" s="327">
        <f t="shared" si="38"/>
        <v>0</v>
      </c>
      <c r="U357" s="326">
        <f>T357*係数!$I$30</f>
        <v>0</v>
      </c>
      <c r="V357" s="326">
        <f>T357*係数!$C$30*0.0000258</f>
        <v>0</v>
      </c>
      <c r="W357" s="282">
        <f t="shared" si="39"/>
        <v>0</v>
      </c>
      <c r="X357" s="337">
        <f t="shared" si="40"/>
        <v>0</v>
      </c>
      <c r="Y357" s="244">
        <f t="shared" si="41"/>
        <v>0</v>
      </c>
    </row>
    <row r="358" spans="2:25">
      <c r="B358" s="59" t="s">
        <v>637</v>
      </c>
      <c r="C358" s="10"/>
      <c r="D358" s="3"/>
      <c r="E358" s="483"/>
      <c r="F358" s="35"/>
      <c r="G358" s="35"/>
      <c r="H358" s="51" t="s">
        <v>341</v>
      </c>
      <c r="I358" s="3"/>
      <c r="J358" s="331">
        <f t="shared" si="42"/>
        <v>0</v>
      </c>
      <c r="K358" s="331">
        <f t="shared" si="36"/>
        <v>0</v>
      </c>
      <c r="L358" s="326">
        <f>K358*係数!$I$30</f>
        <v>0</v>
      </c>
      <c r="M358" s="326">
        <f>K358*係数!$C$30*0.0000258</f>
        <v>0</v>
      </c>
      <c r="N358" s="10"/>
      <c r="O358" s="3"/>
      <c r="P358" s="483"/>
      <c r="Q358" s="51" t="s">
        <v>341</v>
      </c>
      <c r="R358" s="3"/>
      <c r="S358" s="329">
        <f t="shared" si="37"/>
        <v>0</v>
      </c>
      <c r="T358" s="327">
        <f t="shared" si="38"/>
        <v>0</v>
      </c>
      <c r="U358" s="326">
        <f>T358*係数!$I$30</f>
        <v>0</v>
      </c>
      <c r="V358" s="326">
        <f>T358*係数!$C$30*0.0000258</f>
        <v>0</v>
      </c>
      <c r="W358" s="282">
        <f t="shared" si="39"/>
        <v>0</v>
      </c>
      <c r="X358" s="337">
        <f t="shared" si="40"/>
        <v>0</v>
      </c>
      <c r="Y358" s="244">
        <f t="shared" si="41"/>
        <v>0</v>
      </c>
    </row>
    <row r="359" spans="2:25">
      <c r="B359" s="59" t="s">
        <v>638</v>
      </c>
      <c r="C359" s="10"/>
      <c r="D359" s="3"/>
      <c r="E359" s="483"/>
      <c r="F359" s="35"/>
      <c r="G359" s="35"/>
      <c r="H359" s="51" t="s">
        <v>341</v>
      </c>
      <c r="I359" s="3"/>
      <c r="J359" s="331">
        <f t="shared" si="42"/>
        <v>0</v>
      </c>
      <c r="K359" s="331">
        <f t="shared" si="36"/>
        <v>0</v>
      </c>
      <c r="L359" s="326">
        <f>K359*係数!$I$30</f>
        <v>0</v>
      </c>
      <c r="M359" s="326">
        <f>K359*係数!$C$30*0.0000258</f>
        <v>0</v>
      </c>
      <c r="N359" s="10"/>
      <c r="O359" s="3"/>
      <c r="P359" s="483"/>
      <c r="Q359" s="51" t="s">
        <v>341</v>
      </c>
      <c r="R359" s="3"/>
      <c r="S359" s="329">
        <f t="shared" si="37"/>
        <v>0</v>
      </c>
      <c r="T359" s="327">
        <f t="shared" si="38"/>
        <v>0</v>
      </c>
      <c r="U359" s="326">
        <f>T359*係数!$I$30</f>
        <v>0</v>
      </c>
      <c r="V359" s="326">
        <f>T359*係数!$C$30*0.0000258</f>
        <v>0</v>
      </c>
      <c r="W359" s="282">
        <f t="shared" si="39"/>
        <v>0</v>
      </c>
      <c r="X359" s="337">
        <f t="shared" si="40"/>
        <v>0</v>
      </c>
      <c r="Y359" s="244">
        <f t="shared" si="41"/>
        <v>0</v>
      </c>
    </row>
    <row r="360" spans="2:25">
      <c r="B360" s="59" t="s">
        <v>639</v>
      </c>
      <c r="C360" s="10"/>
      <c r="D360" s="3"/>
      <c r="E360" s="483"/>
      <c r="F360" s="35"/>
      <c r="G360" s="35"/>
      <c r="H360" s="51" t="s">
        <v>341</v>
      </c>
      <c r="I360" s="3"/>
      <c r="J360" s="331">
        <f t="shared" si="42"/>
        <v>0</v>
      </c>
      <c r="K360" s="331">
        <f t="shared" si="36"/>
        <v>0</v>
      </c>
      <c r="L360" s="326">
        <f>K360*係数!$I$30</f>
        <v>0</v>
      </c>
      <c r="M360" s="326">
        <f>K360*係数!$C$30*0.0000258</f>
        <v>0</v>
      </c>
      <c r="N360" s="10"/>
      <c r="O360" s="3"/>
      <c r="P360" s="483"/>
      <c r="Q360" s="51" t="s">
        <v>341</v>
      </c>
      <c r="R360" s="3"/>
      <c r="S360" s="329">
        <f t="shared" si="37"/>
        <v>0</v>
      </c>
      <c r="T360" s="327">
        <f t="shared" si="38"/>
        <v>0</v>
      </c>
      <c r="U360" s="326">
        <f>T360*係数!$I$30</f>
        <v>0</v>
      </c>
      <c r="V360" s="326">
        <f>T360*係数!$C$30*0.0000258</f>
        <v>0</v>
      </c>
      <c r="W360" s="282">
        <f t="shared" si="39"/>
        <v>0</v>
      </c>
      <c r="X360" s="337">
        <f t="shared" si="40"/>
        <v>0</v>
      </c>
      <c r="Y360" s="244">
        <f t="shared" si="41"/>
        <v>0</v>
      </c>
    </row>
    <row r="361" spans="2:25">
      <c r="B361" s="59" t="s">
        <v>640</v>
      </c>
      <c r="C361" s="10"/>
      <c r="D361" s="3"/>
      <c r="E361" s="483"/>
      <c r="F361" s="35"/>
      <c r="G361" s="35"/>
      <c r="H361" s="51" t="s">
        <v>341</v>
      </c>
      <c r="I361" s="3"/>
      <c r="J361" s="331">
        <f t="shared" si="42"/>
        <v>0</v>
      </c>
      <c r="K361" s="331">
        <f t="shared" si="36"/>
        <v>0</v>
      </c>
      <c r="L361" s="326">
        <f>K361*係数!$I$30</f>
        <v>0</v>
      </c>
      <c r="M361" s="326">
        <f>K361*係数!$C$30*0.0000258</f>
        <v>0</v>
      </c>
      <c r="N361" s="10"/>
      <c r="O361" s="3"/>
      <c r="P361" s="483"/>
      <c r="Q361" s="51" t="s">
        <v>341</v>
      </c>
      <c r="R361" s="3"/>
      <c r="S361" s="329">
        <f t="shared" si="37"/>
        <v>0</v>
      </c>
      <c r="T361" s="327">
        <f t="shared" si="38"/>
        <v>0</v>
      </c>
      <c r="U361" s="326">
        <f>T361*係数!$I$30</f>
        <v>0</v>
      </c>
      <c r="V361" s="326">
        <f>T361*係数!$C$30*0.0000258</f>
        <v>0</v>
      </c>
      <c r="W361" s="282">
        <f t="shared" si="39"/>
        <v>0</v>
      </c>
      <c r="X361" s="337">
        <f t="shared" si="40"/>
        <v>0</v>
      </c>
      <c r="Y361" s="244">
        <f t="shared" si="41"/>
        <v>0</v>
      </c>
    </row>
    <row r="362" spans="2:25">
      <c r="B362" s="59" t="s">
        <v>641</v>
      </c>
      <c r="C362" s="10"/>
      <c r="D362" s="3"/>
      <c r="E362" s="483"/>
      <c r="F362" s="35"/>
      <c r="G362" s="35"/>
      <c r="H362" s="51" t="s">
        <v>341</v>
      </c>
      <c r="I362" s="3"/>
      <c r="J362" s="331">
        <f t="shared" si="42"/>
        <v>0</v>
      </c>
      <c r="K362" s="331">
        <f t="shared" si="36"/>
        <v>0</v>
      </c>
      <c r="L362" s="326">
        <f>K362*係数!$I$30</f>
        <v>0</v>
      </c>
      <c r="M362" s="326">
        <f>K362*係数!$C$30*0.0000258</f>
        <v>0</v>
      </c>
      <c r="N362" s="10"/>
      <c r="O362" s="3"/>
      <c r="P362" s="483"/>
      <c r="Q362" s="51" t="s">
        <v>341</v>
      </c>
      <c r="R362" s="3"/>
      <c r="S362" s="329">
        <f t="shared" si="37"/>
        <v>0</v>
      </c>
      <c r="T362" s="327">
        <f t="shared" si="38"/>
        <v>0</v>
      </c>
      <c r="U362" s="326">
        <f>T362*係数!$I$30</f>
        <v>0</v>
      </c>
      <c r="V362" s="326">
        <f>T362*係数!$C$30*0.0000258</f>
        <v>0</v>
      </c>
      <c r="W362" s="282">
        <f t="shared" si="39"/>
        <v>0</v>
      </c>
      <c r="X362" s="337">
        <f t="shared" si="40"/>
        <v>0</v>
      </c>
      <c r="Y362" s="244">
        <f t="shared" si="41"/>
        <v>0</v>
      </c>
    </row>
    <row r="363" spans="2:25">
      <c r="B363" s="59" t="s">
        <v>642</v>
      </c>
      <c r="C363" s="10"/>
      <c r="D363" s="3"/>
      <c r="E363" s="483"/>
      <c r="F363" s="35"/>
      <c r="G363" s="35"/>
      <c r="H363" s="51" t="s">
        <v>341</v>
      </c>
      <c r="I363" s="3"/>
      <c r="J363" s="331">
        <f t="shared" si="42"/>
        <v>0</v>
      </c>
      <c r="K363" s="331">
        <f t="shared" si="36"/>
        <v>0</v>
      </c>
      <c r="L363" s="326">
        <f>K363*係数!$I$30</f>
        <v>0</v>
      </c>
      <c r="M363" s="326">
        <f>K363*係数!$C$30*0.0000258</f>
        <v>0</v>
      </c>
      <c r="N363" s="10"/>
      <c r="O363" s="3"/>
      <c r="P363" s="483"/>
      <c r="Q363" s="51" t="s">
        <v>341</v>
      </c>
      <c r="R363" s="3"/>
      <c r="S363" s="329">
        <f t="shared" si="37"/>
        <v>0</v>
      </c>
      <c r="T363" s="327">
        <f t="shared" si="38"/>
        <v>0</v>
      </c>
      <c r="U363" s="326">
        <f>T363*係数!$I$30</f>
        <v>0</v>
      </c>
      <c r="V363" s="326">
        <f>T363*係数!$C$30*0.0000258</f>
        <v>0</v>
      </c>
      <c r="W363" s="282">
        <f t="shared" si="39"/>
        <v>0</v>
      </c>
      <c r="X363" s="337">
        <f t="shared" si="40"/>
        <v>0</v>
      </c>
      <c r="Y363" s="244">
        <f t="shared" si="41"/>
        <v>0</v>
      </c>
    </row>
    <row r="364" spans="2:25">
      <c r="B364" s="59" t="s">
        <v>643</v>
      </c>
      <c r="C364" s="10"/>
      <c r="D364" s="3"/>
      <c r="E364" s="483"/>
      <c r="F364" s="35"/>
      <c r="G364" s="35"/>
      <c r="H364" s="51" t="s">
        <v>341</v>
      </c>
      <c r="I364" s="3"/>
      <c r="J364" s="331">
        <f t="shared" si="42"/>
        <v>0</v>
      </c>
      <c r="K364" s="331">
        <f t="shared" si="36"/>
        <v>0</v>
      </c>
      <c r="L364" s="326">
        <f>K364*係数!$I$30</f>
        <v>0</v>
      </c>
      <c r="M364" s="326">
        <f>K364*係数!$C$30*0.0000258</f>
        <v>0</v>
      </c>
      <c r="N364" s="10"/>
      <c r="O364" s="3"/>
      <c r="P364" s="483"/>
      <c r="Q364" s="51" t="s">
        <v>341</v>
      </c>
      <c r="R364" s="3"/>
      <c r="S364" s="329">
        <f t="shared" si="37"/>
        <v>0</v>
      </c>
      <c r="T364" s="327">
        <f t="shared" si="38"/>
        <v>0</v>
      </c>
      <c r="U364" s="326">
        <f>T364*係数!$I$30</f>
        <v>0</v>
      </c>
      <c r="V364" s="326">
        <f>T364*係数!$C$30*0.0000258</f>
        <v>0</v>
      </c>
      <c r="W364" s="282">
        <f t="shared" si="39"/>
        <v>0</v>
      </c>
      <c r="X364" s="337">
        <f t="shared" si="40"/>
        <v>0</v>
      </c>
      <c r="Y364" s="244">
        <f t="shared" si="41"/>
        <v>0</v>
      </c>
    </row>
    <row r="365" spans="2:25">
      <c r="B365" s="59" t="s">
        <v>644</v>
      </c>
      <c r="C365" s="10"/>
      <c r="D365" s="3"/>
      <c r="E365" s="483"/>
      <c r="F365" s="35"/>
      <c r="G365" s="35"/>
      <c r="H365" s="51" t="s">
        <v>341</v>
      </c>
      <c r="I365" s="3"/>
      <c r="J365" s="331">
        <f t="shared" si="42"/>
        <v>0</v>
      </c>
      <c r="K365" s="331">
        <f t="shared" si="36"/>
        <v>0</v>
      </c>
      <c r="L365" s="326">
        <f>K365*係数!$I$30</f>
        <v>0</v>
      </c>
      <c r="M365" s="326">
        <f>K365*係数!$C$30*0.0000258</f>
        <v>0</v>
      </c>
      <c r="N365" s="10"/>
      <c r="O365" s="3"/>
      <c r="P365" s="483"/>
      <c r="Q365" s="51" t="s">
        <v>341</v>
      </c>
      <c r="R365" s="3"/>
      <c r="S365" s="329">
        <f t="shared" si="37"/>
        <v>0</v>
      </c>
      <c r="T365" s="327">
        <f t="shared" si="38"/>
        <v>0</v>
      </c>
      <c r="U365" s="326">
        <f>T365*係数!$I$30</f>
        <v>0</v>
      </c>
      <c r="V365" s="326">
        <f>T365*係数!$C$30*0.0000258</f>
        <v>0</v>
      </c>
      <c r="W365" s="282">
        <f t="shared" si="39"/>
        <v>0</v>
      </c>
      <c r="X365" s="337">
        <f t="shared" si="40"/>
        <v>0</v>
      </c>
      <c r="Y365" s="244">
        <f t="shared" si="41"/>
        <v>0</v>
      </c>
    </row>
    <row r="366" spans="2:25">
      <c r="B366" s="59" t="s">
        <v>645</v>
      </c>
      <c r="C366" s="10"/>
      <c r="D366" s="3"/>
      <c r="E366" s="483"/>
      <c r="F366" s="35"/>
      <c r="G366" s="35"/>
      <c r="H366" s="51" t="s">
        <v>341</v>
      </c>
      <c r="I366" s="3"/>
      <c r="J366" s="331">
        <f t="shared" si="42"/>
        <v>0</v>
      </c>
      <c r="K366" s="331">
        <f t="shared" si="36"/>
        <v>0</v>
      </c>
      <c r="L366" s="326">
        <f>K366*係数!$I$30</f>
        <v>0</v>
      </c>
      <c r="M366" s="326">
        <f>K366*係数!$C$30*0.0000258</f>
        <v>0</v>
      </c>
      <c r="N366" s="10"/>
      <c r="O366" s="3"/>
      <c r="P366" s="483"/>
      <c r="Q366" s="51" t="s">
        <v>341</v>
      </c>
      <c r="R366" s="3"/>
      <c r="S366" s="329">
        <f t="shared" si="37"/>
        <v>0</v>
      </c>
      <c r="T366" s="327">
        <f t="shared" si="38"/>
        <v>0</v>
      </c>
      <c r="U366" s="326">
        <f>T366*係数!$I$30</f>
        <v>0</v>
      </c>
      <c r="V366" s="326">
        <f>T366*係数!$C$30*0.0000258</f>
        <v>0</v>
      </c>
      <c r="W366" s="282">
        <f t="shared" si="39"/>
        <v>0</v>
      </c>
      <c r="X366" s="337">
        <f t="shared" si="40"/>
        <v>0</v>
      </c>
      <c r="Y366" s="244">
        <f t="shared" si="41"/>
        <v>0</v>
      </c>
    </row>
    <row r="367" spans="2:25">
      <c r="B367" s="59" t="s">
        <v>646</v>
      </c>
      <c r="C367" s="10"/>
      <c r="D367" s="3"/>
      <c r="E367" s="483"/>
      <c r="F367" s="35"/>
      <c r="G367" s="35"/>
      <c r="H367" s="51" t="s">
        <v>341</v>
      </c>
      <c r="I367" s="3"/>
      <c r="J367" s="331">
        <f t="shared" si="42"/>
        <v>0</v>
      </c>
      <c r="K367" s="331">
        <f t="shared" si="36"/>
        <v>0</v>
      </c>
      <c r="L367" s="326">
        <f>K367*係数!$I$30</f>
        <v>0</v>
      </c>
      <c r="M367" s="326">
        <f>K367*係数!$C$30*0.0000258</f>
        <v>0</v>
      </c>
      <c r="N367" s="10"/>
      <c r="O367" s="3"/>
      <c r="P367" s="483"/>
      <c r="Q367" s="51" t="s">
        <v>341</v>
      </c>
      <c r="R367" s="3"/>
      <c r="S367" s="329">
        <f t="shared" si="37"/>
        <v>0</v>
      </c>
      <c r="T367" s="327">
        <f t="shared" si="38"/>
        <v>0</v>
      </c>
      <c r="U367" s="326">
        <f>T367*係数!$I$30</f>
        <v>0</v>
      </c>
      <c r="V367" s="326">
        <f>T367*係数!$C$30*0.0000258</f>
        <v>0</v>
      </c>
      <c r="W367" s="282">
        <f t="shared" si="39"/>
        <v>0</v>
      </c>
      <c r="X367" s="337">
        <f t="shared" si="40"/>
        <v>0</v>
      </c>
      <c r="Y367" s="244">
        <f t="shared" si="41"/>
        <v>0</v>
      </c>
    </row>
    <row r="368" spans="2:25">
      <c r="B368" s="59" t="s">
        <v>647</v>
      </c>
      <c r="C368" s="10"/>
      <c r="D368" s="3"/>
      <c r="E368" s="483"/>
      <c r="F368" s="35"/>
      <c r="G368" s="35"/>
      <c r="H368" s="51" t="s">
        <v>341</v>
      </c>
      <c r="I368" s="3"/>
      <c r="J368" s="331">
        <f t="shared" si="42"/>
        <v>0</v>
      </c>
      <c r="K368" s="331">
        <f t="shared" si="36"/>
        <v>0</v>
      </c>
      <c r="L368" s="326">
        <f>K368*係数!$I$30</f>
        <v>0</v>
      </c>
      <c r="M368" s="326">
        <f>K368*係数!$C$30*0.0000258</f>
        <v>0</v>
      </c>
      <c r="N368" s="10"/>
      <c r="O368" s="3"/>
      <c r="P368" s="483"/>
      <c r="Q368" s="51" t="s">
        <v>341</v>
      </c>
      <c r="R368" s="3"/>
      <c r="S368" s="329">
        <f t="shared" si="37"/>
        <v>0</v>
      </c>
      <c r="T368" s="327">
        <f t="shared" si="38"/>
        <v>0</v>
      </c>
      <c r="U368" s="326">
        <f>T368*係数!$I$30</f>
        <v>0</v>
      </c>
      <c r="V368" s="326">
        <f>T368*係数!$C$30*0.0000258</f>
        <v>0</v>
      </c>
      <c r="W368" s="282">
        <f t="shared" si="39"/>
        <v>0</v>
      </c>
      <c r="X368" s="337">
        <f t="shared" si="40"/>
        <v>0</v>
      </c>
      <c r="Y368" s="244">
        <f t="shared" si="41"/>
        <v>0</v>
      </c>
    </row>
    <row r="369" spans="2:25">
      <c r="B369" s="59" t="s">
        <v>648</v>
      </c>
      <c r="C369" s="10"/>
      <c r="D369" s="3"/>
      <c r="E369" s="483"/>
      <c r="F369" s="35"/>
      <c r="G369" s="35"/>
      <c r="H369" s="51" t="s">
        <v>341</v>
      </c>
      <c r="I369" s="3"/>
      <c r="J369" s="331">
        <f t="shared" si="42"/>
        <v>0</v>
      </c>
      <c r="K369" s="331">
        <f t="shared" si="36"/>
        <v>0</v>
      </c>
      <c r="L369" s="326">
        <f>K369*係数!$I$30</f>
        <v>0</v>
      </c>
      <c r="M369" s="326">
        <f>K369*係数!$C$30*0.0000258</f>
        <v>0</v>
      </c>
      <c r="N369" s="10"/>
      <c r="O369" s="3"/>
      <c r="P369" s="483"/>
      <c r="Q369" s="51" t="s">
        <v>341</v>
      </c>
      <c r="R369" s="3"/>
      <c r="S369" s="329">
        <f t="shared" si="37"/>
        <v>0</v>
      </c>
      <c r="T369" s="327">
        <f t="shared" si="38"/>
        <v>0</v>
      </c>
      <c r="U369" s="326">
        <f>T369*係数!$I$30</f>
        <v>0</v>
      </c>
      <c r="V369" s="326">
        <f>T369*係数!$C$30*0.0000258</f>
        <v>0</v>
      </c>
      <c r="W369" s="282">
        <f t="shared" si="39"/>
        <v>0</v>
      </c>
      <c r="X369" s="337">
        <f t="shared" si="40"/>
        <v>0</v>
      </c>
      <c r="Y369" s="244">
        <f t="shared" si="41"/>
        <v>0</v>
      </c>
    </row>
    <row r="370" spans="2:25">
      <c r="B370" s="59" t="s">
        <v>649</v>
      </c>
      <c r="C370" s="10"/>
      <c r="D370" s="3"/>
      <c r="E370" s="483"/>
      <c r="F370" s="35"/>
      <c r="G370" s="35"/>
      <c r="H370" s="51" t="s">
        <v>341</v>
      </c>
      <c r="I370" s="3"/>
      <c r="J370" s="331">
        <f t="shared" si="42"/>
        <v>0</v>
      </c>
      <c r="K370" s="331">
        <f t="shared" si="36"/>
        <v>0</v>
      </c>
      <c r="L370" s="326">
        <f>K370*係数!$I$30</f>
        <v>0</v>
      </c>
      <c r="M370" s="326">
        <f>K370*係数!$C$30*0.0000258</f>
        <v>0</v>
      </c>
      <c r="N370" s="10"/>
      <c r="O370" s="3"/>
      <c r="P370" s="483"/>
      <c r="Q370" s="51" t="s">
        <v>341</v>
      </c>
      <c r="R370" s="3"/>
      <c r="S370" s="329">
        <f t="shared" si="37"/>
        <v>0</v>
      </c>
      <c r="T370" s="327">
        <f t="shared" si="38"/>
        <v>0</v>
      </c>
      <c r="U370" s="326">
        <f>T370*係数!$I$30</f>
        <v>0</v>
      </c>
      <c r="V370" s="326">
        <f>T370*係数!$C$30*0.0000258</f>
        <v>0</v>
      </c>
      <c r="W370" s="282">
        <f t="shared" si="39"/>
        <v>0</v>
      </c>
      <c r="X370" s="337">
        <f t="shared" si="40"/>
        <v>0</v>
      </c>
      <c r="Y370" s="244">
        <f t="shared" si="41"/>
        <v>0</v>
      </c>
    </row>
    <row r="371" spans="2:25">
      <c r="B371" s="59" t="s">
        <v>650</v>
      </c>
      <c r="C371" s="10"/>
      <c r="D371" s="3"/>
      <c r="E371" s="483"/>
      <c r="F371" s="35"/>
      <c r="G371" s="35"/>
      <c r="H371" s="51" t="s">
        <v>341</v>
      </c>
      <c r="I371" s="3"/>
      <c r="J371" s="331">
        <f t="shared" si="42"/>
        <v>0</v>
      </c>
      <c r="K371" s="331">
        <f t="shared" si="36"/>
        <v>0</v>
      </c>
      <c r="L371" s="326">
        <f>K371*係数!$I$30</f>
        <v>0</v>
      </c>
      <c r="M371" s="326">
        <f>K371*係数!$C$30*0.0000258</f>
        <v>0</v>
      </c>
      <c r="N371" s="10"/>
      <c r="O371" s="3"/>
      <c r="P371" s="483"/>
      <c r="Q371" s="51" t="s">
        <v>341</v>
      </c>
      <c r="R371" s="3"/>
      <c r="S371" s="329">
        <f t="shared" si="37"/>
        <v>0</v>
      </c>
      <c r="T371" s="327">
        <f t="shared" si="38"/>
        <v>0</v>
      </c>
      <c r="U371" s="326">
        <f>T371*係数!$I$30</f>
        <v>0</v>
      </c>
      <c r="V371" s="326">
        <f>T371*係数!$C$30*0.0000258</f>
        <v>0</v>
      </c>
      <c r="W371" s="282">
        <f t="shared" si="39"/>
        <v>0</v>
      </c>
      <c r="X371" s="337">
        <f t="shared" si="40"/>
        <v>0</v>
      </c>
      <c r="Y371" s="244">
        <f t="shared" si="41"/>
        <v>0</v>
      </c>
    </row>
    <row r="372" spans="2:25">
      <c r="B372" s="59" t="s">
        <v>651</v>
      </c>
      <c r="C372" s="10"/>
      <c r="D372" s="3"/>
      <c r="E372" s="483"/>
      <c r="F372" s="35"/>
      <c r="G372" s="35"/>
      <c r="H372" s="51" t="s">
        <v>341</v>
      </c>
      <c r="I372" s="3"/>
      <c r="J372" s="331">
        <f t="shared" si="42"/>
        <v>0</v>
      </c>
      <c r="K372" s="331">
        <f t="shared" si="36"/>
        <v>0</v>
      </c>
      <c r="L372" s="326">
        <f>K372*係数!$I$30</f>
        <v>0</v>
      </c>
      <c r="M372" s="326">
        <f>K372*係数!$C$30*0.0000258</f>
        <v>0</v>
      </c>
      <c r="N372" s="10"/>
      <c r="O372" s="3"/>
      <c r="P372" s="483"/>
      <c r="Q372" s="51" t="s">
        <v>341</v>
      </c>
      <c r="R372" s="3"/>
      <c r="S372" s="329">
        <f t="shared" si="37"/>
        <v>0</v>
      </c>
      <c r="T372" s="327">
        <f t="shared" si="38"/>
        <v>0</v>
      </c>
      <c r="U372" s="326">
        <f>T372*係数!$I$30</f>
        <v>0</v>
      </c>
      <c r="V372" s="326">
        <f>T372*係数!$C$30*0.0000258</f>
        <v>0</v>
      </c>
      <c r="W372" s="282">
        <f t="shared" si="39"/>
        <v>0</v>
      </c>
      <c r="X372" s="337">
        <f t="shared" si="40"/>
        <v>0</v>
      </c>
      <c r="Y372" s="244">
        <f t="shared" si="41"/>
        <v>0</v>
      </c>
    </row>
    <row r="373" spans="2:25">
      <c r="B373" s="59" t="s">
        <v>652</v>
      </c>
      <c r="C373" s="10"/>
      <c r="D373" s="3"/>
      <c r="E373" s="483"/>
      <c r="F373" s="35"/>
      <c r="G373" s="35"/>
      <c r="H373" s="51" t="s">
        <v>341</v>
      </c>
      <c r="I373" s="3"/>
      <c r="J373" s="331">
        <f t="shared" si="42"/>
        <v>0</v>
      </c>
      <c r="K373" s="331">
        <f t="shared" si="36"/>
        <v>0</v>
      </c>
      <c r="L373" s="326">
        <f>K373*係数!$I$30</f>
        <v>0</v>
      </c>
      <c r="M373" s="326">
        <f>K373*係数!$C$30*0.0000258</f>
        <v>0</v>
      </c>
      <c r="N373" s="10"/>
      <c r="O373" s="3"/>
      <c r="P373" s="483"/>
      <c r="Q373" s="51" t="s">
        <v>341</v>
      </c>
      <c r="R373" s="3"/>
      <c r="S373" s="329">
        <f t="shared" si="37"/>
        <v>0</v>
      </c>
      <c r="T373" s="327">
        <f t="shared" si="38"/>
        <v>0</v>
      </c>
      <c r="U373" s="326">
        <f>T373*係数!$I$30</f>
        <v>0</v>
      </c>
      <c r="V373" s="326">
        <f>T373*係数!$C$30*0.0000258</f>
        <v>0</v>
      </c>
      <c r="W373" s="282">
        <f t="shared" si="39"/>
        <v>0</v>
      </c>
      <c r="X373" s="337">
        <f t="shared" si="40"/>
        <v>0</v>
      </c>
      <c r="Y373" s="244">
        <f t="shared" si="41"/>
        <v>0</v>
      </c>
    </row>
    <row r="374" spans="2:25">
      <c r="B374" s="59" t="s">
        <v>653</v>
      </c>
      <c r="C374" s="10"/>
      <c r="D374" s="3"/>
      <c r="E374" s="483"/>
      <c r="F374" s="35"/>
      <c r="G374" s="35"/>
      <c r="H374" s="51" t="s">
        <v>341</v>
      </c>
      <c r="I374" s="3"/>
      <c r="J374" s="331">
        <f t="shared" si="42"/>
        <v>0</v>
      </c>
      <c r="K374" s="331">
        <f t="shared" si="36"/>
        <v>0</v>
      </c>
      <c r="L374" s="326">
        <f>K374*係数!$I$30</f>
        <v>0</v>
      </c>
      <c r="M374" s="326">
        <f>K374*係数!$C$30*0.0000258</f>
        <v>0</v>
      </c>
      <c r="N374" s="10"/>
      <c r="O374" s="3"/>
      <c r="P374" s="483"/>
      <c r="Q374" s="51" t="s">
        <v>341</v>
      </c>
      <c r="R374" s="3"/>
      <c r="S374" s="329">
        <f t="shared" si="37"/>
        <v>0</v>
      </c>
      <c r="T374" s="327">
        <f t="shared" si="38"/>
        <v>0</v>
      </c>
      <c r="U374" s="326">
        <f>T374*係数!$I$30</f>
        <v>0</v>
      </c>
      <c r="V374" s="326">
        <f>T374*係数!$C$30*0.0000258</f>
        <v>0</v>
      </c>
      <c r="W374" s="282">
        <f t="shared" si="39"/>
        <v>0</v>
      </c>
      <c r="X374" s="337">
        <f t="shared" si="40"/>
        <v>0</v>
      </c>
      <c r="Y374" s="244">
        <f t="shared" si="41"/>
        <v>0</v>
      </c>
    </row>
    <row r="375" spans="2:25">
      <c r="B375" s="59" t="s">
        <v>654</v>
      </c>
      <c r="C375" s="10"/>
      <c r="D375" s="3"/>
      <c r="E375" s="483"/>
      <c r="F375" s="35"/>
      <c r="G375" s="35"/>
      <c r="H375" s="51" t="s">
        <v>341</v>
      </c>
      <c r="I375" s="3"/>
      <c r="J375" s="331">
        <f t="shared" si="42"/>
        <v>0</v>
      </c>
      <c r="K375" s="331">
        <f t="shared" si="36"/>
        <v>0</v>
      </c>
      <c r="L375" s="326">
        <f>K375*係数!$I$30</f>
        <v>0</v>
      </c>
      <c r="M375" s="326">
        <f>K375*係数!$C$30*0.0000258</f>
        <v>0</v>
      </c>
      <c r="N375" s="10"/>
      <c r="O375" s="3"/>
      <c r="P375" s="483"/>
      <c r="Q375" s="51" t="s">
        <v>341</v>
      </c>
      <c r="R375" s="3"/>
      <c r="S375" s="329">
        <f t="shared" si="37"/>
        <v>0</v>
      </c>
      <c r="T375" s="327">
        <f t="shared" si="38"/>
        <v>0</v>
      </c>
      <c r="U375" s="326">
        <f>T375*係数!$I$30</f>
        <v>0</v>
      </c>
      <c r="V375" s="326">
        <f>T375*係数!$C$30*0.0000258</f>
        <v>0</v>
      </c>
      <c r="W375" s="282">
        <f t="shared" si="39"/>
        <v>0</v>
      </c>
      <c r="X375" s="337">
        <f t="shared" si="40"/>
        <v>0</v>
      </c>
      <c r="Y375" s="244">
        <f t="shared" si="41"/>
        <v>0</v>
      </c>
    </row>
    <row r="376" spans="2:25">
      <c r="B376" s="59" t="s">
        <v>655</v>
      </c>
      <c r="C376" s="10"/>
      <c r="D376" s="3"/>
      <c r="E376" s="483"/>
      <c r="F376" s="35"/>
      <c r="G376" s="35"/>
      <c r="H376" s="51" t="s">
        <v>341</v>
      </c>
      <c r="I376" s="3"/>
      <c r="J376" s="331">
        <f t="shared" si="42"/>
        <v>0</v>
      </c>
      <c r="K376" s="331">
        <f t="shared" si="36"/>
        <v>0</v>
      </c>
      <c r="L376" s="326">
        <f>K376*係数!$I$30</f>
        <v>0</v>
      </c>
      <c r="M376" s="326">
        <f>K376*係数!$C$30*0.0000258</f>
        <v>0</v>
      </c>
      <c r="N376" s="10"/>
      <c r="O376" s="3"/>
      <c r="P376" s="483"/>
      <c r="Q376" s="51" t="s">
        <v>341</v>
      </c>
      <c r="R376" s="3"/>
      <c r="S376" s="329">
        <f t="shared" si="37"/>
        <v>0</v>
      </c>
      <c r="T376" s="327">
        <f t="shared" si="38"/>
        <v>0</v>
      </c>
      <c r="U376" s="326">
        <f>T376*係数!$I$30</f>
        <v>0</v>
      </c>
      <c r="V376" s="326">
        <f>T376*係数!$C$30*0.0000258</f>
        <v>0</v>
      </c>
      <c r="W376" s="282">
        <f t="shared" si="39"/>
        <v>0</v>
      </c>
      <c r="X376" s="337">
        <f t="shared" si="40"/>
        <v>0</v>
      </c>
      <c r="Y376" s="244">
        <f t="shared" si="41"/>
        <v>0</v>
      </c>
    </row>
    <row r="377" spans="2:25">
      <c r="B377" s="59" t="s">
        <v>656</v>
      </c>
      <c r="C377" s="10"/>
      <c r="D377" s="3"/>
      <c r="E377" s="483"/>
      <c r="F377" s="35"/>
      <c r="G377" s="35"/>
      <c r="H377" s="51" t="s">
        <v>341</v>
      </c>
      <c r="I377" s="3"/>
      <c r="J377" s="331">
        <f t="shared" si="42"/>
        <v>0</v>
      </c>
      <c r="K377" s="331">
        <f t="shared" si="36"/>
        <v>0</v>
      </c>
      <c r="L377" s="326">
        <f>K377*係数!$I$30</f>
        <v>0</v>
      </c>
      <c r="M377" s="326">
        <f>K377*係数!$C$30*0.0000258</f>
        <v>0</v>
      </c>
      <c r="N377" s="10"/>
      <c r="O377" s="3"/>
      <c r="P377" s="483"/>
      <c r="Q377" s="51" t="s">
        <v>341</v>
      </c>
      <c r="R377" s="3"/>
      <c r="S377" s="329">
        <f t="shared" si="37"/>
        <v>0</v>
      </c>
      <c r="T377" s="327">
        <f t="shared" si="38"/>
        <v>0</v>
      </c>
      <c r="U377" s="326">
        <f>T377*係数!$I$30</f>
        <v>0</v>
      </c>
      <c r="V377" s="326">
        <f>T377*係数!$C$30*0.0000258</f>
        <v>0</v>
      </c>
      <c r="W377" s="282">
        <f t="shared" si="39"/>
        <v>0</v>
      </c>
      <c r="X377" s="337">
        <f t="shared" si="40"/>
        <v>0</v>
      </c>
      <c r="Y377" s="244">
        <f t="shared" si="41"/>
        <v>0</v>
      </c>
    </row>
    <row r="378" spans="2:25">
      <c r="B378" s="59" t="s">
        <v>657</v>
      </c>
      <c r="C378" s="10"/>
      <c r="D378" s="3"/>
      <c r="E378" s="483"/>
      <c r="F378" s="35"/>
      <c r="G378" s="35"/>
      <c r="H378" s="51" t="s">
        <v>341</v>
      </c>
      <c r="I378" s="3"/>
      <c r="J378" s="331">
        <f t="shared" si="42"/>
        <v>0</v>
      </c>
      <c r="K378" s="331">
        <f t="shared" si="36"/>
        <v>0</v>
      </c>
      <c r="L378" s="326">
        <f>K378*係数!$I$30</f>
        <v>0</v>
      </c>
      <c r="M378" s="326">
        <f>K378*係数!$C$30*0.0000258</f>
        <v>0</v>
      </c>
      <c r="N378" s="10"/>
      <c r="O378" s="3"/>
      <c r="P378" s="483"/>
      <c r="Q378" s="51" t="s">
        <v>341</v>
      </c>
      <c r="R378" s="3"/>
      <c r="S378" s="329">
        <f t="shared" si="37"/>
        <v>0</v>
      </c>
      <c r="T378" s="327">
        <f t="shared" si="38"/>
        <v>0</v>
      </c>
      <c r="U378" s="326">
        <f>T378*係数!$I$30</f>
        <v>0</v>
      </c>
      <c r="V378" s="326">
        <f>T378*係数!$C$30*0.0000258</f>
        <v>0</v>
      </c>
      <c r="W378" s="282">
        <f t="shared" si="39"/>
        <v>0</v>
      </c>
      <c r="X378" s="337">
        <f t="shared" si="40"/>
        <v>0</v>
      </c>
      <c r="Y378" s="244">
        <f t="shared" si="41"/>
        <v>0</v>
      </c>
    </row>
    <row r="379" spans="2:25">
      <c r="B379" s="59" t="s">
        <v>658</v>
      </c>
      <c r="C379" s="10"/>
      <c r="D379" s="3"/>
      <c r="E379" s="483"/>
      <c r="F379" s="35"/>
      <c r="G379" s="35"/>
      <c r="H379" s="51" t="s">
        <v>341</v>
      </c>
      <c r="I379" s="3"/>
      <c r="J379" s="331">
        <f t="shared" si="42"/>
        <v>0</v>
      </c>
      <c r="K379" s="331">
        <f t="shared" si="36"/>
        <v>0</v>
      </c>
      <c r="L379" s="326">
        <f>K379*係数!$I$30</f>
        <v>0</v>
      </c>
      <c r="M379" s="326">
        <f>K379*係数!$C$30*0.0000258</f>
        <v>0</v>
      </c>
      <c r="N379" s="10"/>
      <c r="O379" s="3"/>
      <c r="P379" s="483"/>
      <c r="Q379" s="51" t="s">
        <v>341</v>
      </c>
      <c r="R379" s="3"/>
      <c r="S379" s="329">
        <f t="shared" si="37"/>
        <v>0</v>
      </c>
      <c r="T379" s="327">
        <f t="shared" si="38"/>
        <v>0</v>
      </c>
      <c r="U379" s="326">
        <f>T379*係数!$I$30</f>
        <v>0</v>
      </c>
      <c r="V379" s="326">
        <f>T379*係数!$C$30*0.0000258</f>
        <v>0</v>
      </c>
      <c r="W379" s="282">
        <f t="shared" si="39"/>
        <v>0</v>
      </c>
      <c r="X379" s="337">
        <f t="shared" si="40"/>
        <v>0</v>
      </c>
      <c r="Y379" s="244">
        <f t="shared" si="41"/>
        <v>0</v>
      </c>
    </row>
    <row r="380" spans="2:25">
      <c r="B380" s="59" t="s">
        <v>659</v>
      </c>
      <c r="C380" s="10"/>
      <c r="D380" s="3"/>
      <c r="E380" s="483"/>
      <c r="F380" s="35"/>
      <c r="G380" s="35"/>
      <c r="H380" s="51" t="s">
        <v>341</v>
      </c>
      <c r="I380" s="3"/>
      <c r="J380" s="331">
        <f t="shared" si="42"/>
        <v>0</v>
      </c>
      <c r="K380" s="331">
        <f t="shared" si="36"/>
        <v>0</v>
      </c>
      <c r="L380" s="326">
        <f>K380*係数!$I$30</f>
        <v>0</v>
      </c>
      <c r="M380" s="326">
        <f>K380*係数!$C$30*0.0000258</f>
        <v>0</v>
      </c>
      <c r="N380" s="10"/>
      <c r="O380" s="3"/>
      <c r="P380" s="483"/>
      <c r="Q380" s="51" t="s">
        <v>341</v>
      </c>
      <c r="R380" s="3"/>
      <c r="S380" s="329">
        <f t="shared" si="37"/>
        <v>0</v>
      </c>
      <c r="T380" s="327">
        <f t="shared" si="38"/>
        <v>0</v>
      </c>
      <c r="U380" s="326">
        <f>T380*係数!$I$30</f>
        <v>0</v>
      </c>
      <c r="V380" s="326">
        <f>T380*係数!$C$30*0.0000258</f>
        <v>0</v>
      </c>
      <c r="W380" s="282">
        <f t="shared" si="39"/>
        <v>0</v>
      </c>
      <c r="X380" s="337">
        <f t="shared" si="40"/>
        <v>0</v>
      </c>
      <c r="Y380" s="244">
        <f t="shared" si="41"/>
        <v>0</v>
      </c>
    </row>
    <row r="381" spans="2:25">
      <c r="B381" s="59" t="s">
        <v>660</v>
      </c>
      <c r="C381" s="10"/>
      <c r="D381" s="3"/>
      <c r="E381" s="483"/>
      <c r="F381" s="35"/>
      <c r="G381" s="35"/>
      <c r="H381" s="51" t="s">
        <v>341</v>
      </c>
      <c r="I381" s="3"/>
      <c r="J381" s="331">
        <f t="shared" si="42"/>
        <v>0</v>
      </c>
      <c r="K381" s="331">
        <f t="shared" si="36"/>
        <v>0</v>
      </c>
      <c r="L381" s="326">
        <f>K381*係数!$I$30</f>
        <v>0</v>
      </c>
      <c r="M381" s="326">
        <f>K381*係数!$C$30*0.0000258</f>
        <v>0</v>
      </c>
      <c r="N381" s="10"/>
      <c r="O381" s="3"/>
      <c r="P381" s="483"/>
      <c r="Q381" s="51" t="s">
        <v>341</v>
      </c>
      <c r="R381" s="3"/>
      <c r="S381" s="329">
        <f t="shared" si="37"/>
        <v>0</v>
      </c>
      <c r="T381" s="327">
        <f t="shared" si="38"/>
        <v>0</v>
      </c>
      <c r="U381" s="326">
        <f>T381*係数!$I$30</f>
        <v>0</v>
      </c>
      <c r="V381" s="326">
        <f>T381*係数!$C$30*0.0000258</f>
        <v>0</v>
      </c>
      <c r="W381" s="282">
        <f t="shared" si="39"/>
        <v>0</v>
      </c>
      <c r="X381" s="337">
        <f t="shared" si="40"/>
        <v>0</v>
      </c>
      <c r="Y381" s="244">
        <f t="shared" si="41"/>
        <v>0</v>
      </c>
    </row>
    <row r="382" spans="2:25">
      <c r="B382" s="59" t="s">
        <v>661</v>
      </c>
      <c r="C382" s="10"/>
      <c r="D382" s="3"/>
      <c r="E382" s="483"/>
      <c r="F382" s="35"/>
      <c r="G382" s="35"/>
      <c r="H382" s="51" t="s">
        <v>341</v>
      </c>
      <c r="I382" s="3"/>
      <c r="J382" s="331">
        <f t="shared" si="42"/>
        <v>0</v>
      </c>
      <c r="K382" s="331">
        <f t="shared" si="36"/>
        <v>0</v>
      </c>
      <c r="L382" s="326">
        <f>K382*係数!$I$30</f>
        <v>0</v>
      </c>
      <c r="M382" s="326">
        <f>K382*係数!$C$30*0.0000258</f>
        <v>0</v>
      </c>
      <c r="N382" s="10"/>
      <c r="O382" s="3"/>
      <c r="P382" s="483"/>
      <c r="Q382" s="51" t="s">
        <v>341</v>
      </c>
      <c r="R382" s="3"/>
      <c r="S382" s="329">
        <f t="shared" si="37"/>
        <v>0</v>
      </c>
      <c r="T382" s="327">
        <f t="shared" si="38"/>
        <v>0</v>
      </c>
      <c r="U382" s="326">
        <f>T382*係数!$I$30</f>
        <v>0</v>
      </c>
      <c r="V382" s="326">
        <f>T382*係数!$C$30*0.0000258</f>
        <v>0</v>
      </c>
      <c r="W382" s="282">
        <f t="shared" si="39"/>
        <v>0</v>
      </c>
      <c r="X382" s="337">
        <f t="shared" si="40"/>
        <v>0</v>
      </c>
      <c r="Y382" s="244">
        <f t="shared" si="41"/>
        <v>0</v>
      </c>
    </row>
    <row r="383" spans="2:25">
      <c r="B383" s="59" t="s">
        <v>662</v>
      </c>
      <c r="C383" s="10"/>
      <c r="D383" s="3"/>
      <c r="E383" s="483"/>
      <c r="F383" s="35"/>
      <c r="G383" s="35"/>
      <c r="H383" s="51" t="s">
        <v>341</v>
      </c>
      <c r="I383" s="3"/>
      <c r="J383" s="331">
        <f t="shared" si="42"/>
        <v>0</v>
      </c>
      <c r="K383" s="331">
        <f t="shared" si="36"/>
        <v>0</v>
      </c>
      <c r="L383" s="326">
        <f>K383*係数!$I$30</f>
        <v>0</v>
      </c>
      <c r="M383" s="326">
        <f>K383*係数!$C$30*0.0000258</f>
        <v>0</v>
      </c>
      <c r="N383" s="10"/>
      <c r="O383" s="3"/>
      <c r="P383" s="483"/>
      <c r="Q383" s="51" t="s">
        <v>341</v>
      </c>
      <c r="R383" s="3"/>
      <c r="S383" s="329">
        <f t="shared" si="37"/>
        <v>0</v>
      </c>
      <c r="T383" s="327">
        <f t="shared" si="38"/>
        <v>0</v>
      </c>
      <c r="U383" s="326">
        <f>T383*係数!$I$30</f>
        <v>0</v>
      </c>
      <c r="V383" s="326">
        <f>T383*係数!$C$30*0.0000258</f>
        <v>0</v>
      </c>
      <c r="W383" s="282">
        <f t="shared" si="39"/>
        <v>0</v>
      </c>
      <c r="X383" s="337">
        <f t="shared" si="40"/>
        <v>0</v>
      </c>
      <c r="Y383" s="244">
        <f t="shared" si="41"/>
        <v>0</v>
      </c>
    </row>
    <row r="384" spans="2:25">
      <c r="B384" s="59" t="s">
        <v>663</v>
      </c>
      <c r="C384" s="10"/>
      <c r="D384" s="3"/>
      <c r="E384" s="483"/>
      <c r="F384" s="35"/>
      <c r="G384" s="35"/>
      <c r="H384" s="51" t="s">
        <v>341</v>
      </c>
      <c r="I384" s="3"/>
      <c r="J384" s="331">
        <f t="shared" si="42"/>
        <v>0</v>
      </c>
      <c r="K384" s="331">
        <f t="shared" si="36"/>
        <v>0</v>
      </c>
      <c r="L384" s="326">
        <f>K384*係数!$I$30</f>
        <v>0</v>
      </c>
      <c r="M384" s="326">
        <f>K384*係数!$C$30*0.0000258</f>
        <v>0</v>
      </c>
      <c r="N384" s="10"/>
      <c r="O384" s="3"/>
      <c r="P384" s="483"/>
      <c r="Q384" s="51" t="s">
        <v>341</v>
      </c>
      <c r="R384" s="3"/>
      <c r="S384" s="329">
        <f t="shared" si="37"/>
        <v>0</v>
      </c>
      <c r="T384" s="327">
        <f t="shared" si="38"/>
        <v>0</v>
      </c>
      <c r="U384" s="326">
        <f>T384*係数!$I$30</f>
        <v>0</v>
      </c>
      <c r="V384" s="326">
        <f>T384*係数!$C$30*0.0000258</f>
        <v>0</v>
      </c>
      <c r="W384" s="282">
        <f t="shared" si="39"/>
        <v>0</v>
      </c>
      <c r="X384" s="337">
        <f t="shared" si="40"/>
        <v>0</v>
      </c>
      <c r="Y384" s="244">
        <f t="shared" si="41"/>
        <v>0</v>
      </c>
    </row>
    <row r="385" spans="2:25">
      <c r="B385" s="59" t="s">
        <v>664</v>
      </c>
      <c r="C385" s="10"/>
      <c r="D385" s="3"/>
      <c r="E385" s="483"/>
      <c r="F385" s="35"/>
      <c r="G385" s="35"/>
      <c r="H385" s="51" t="s">
        <v>341</v>
      </c>
      <c r="I385" s="3"/>
      <c r="J385" s="331">
        <f t="shared" si="42"/>
        <v>0</v>
      </c>
      <c r="K385" s="331">
        <f t="shared" si="36"/>
        <v>0</v>
      </c>
      <c r="L385" s="326">
        <f>K385*係数!$I$30</f>
        <v>0</v>
      </c>
      <c r="M385" s="326">
        <f>K385*係数!$C$30*0.0000258</f>
        <v>0</v>
      </c>
      <c r="N385" s="10"/>
      <c r="O385" s="3"/>
      <c r="P385" s="483"/>
      <c r="Q385" s="51" t="s">
        <v>341</v>
      </c>
      <c r="R385" s="3"/>
      <c r="S385" s="329">
        <f t="shared" si="37"/>
        <v>0</v>
      </c>
      <c r="T385" s="327">
        <f t="shared" si="38"/>
        <v>0</v>
      </c>
      <c r="U385" s="326">
        <f>T385*係数!$I$30</f>
        <v>0</v>
      </c>
      <c r="V385" s="326">
        <f>T385*係数!$C$30*0.0000258</f>
        <v>0</v>
      </c>
      <c r="W385" s="282">
        <f t="shared" si="39"/>
        <v>0</v>
      </c>
      <c r="X385" s="337">
        <f t="shared" si="40"/>
        <v>0</v>
      </c>
      <c r="Y385" s="244">
        <f t="shared" si="41"/>
        <v>0</v>
      </c>
    </row>
    <row r="386" spans="2:25">
      <c r="B386" s="59" t="s">
        <v>665</v>
      </c>
      <c r="C386" s="10"/>
      <c r="D386" s="3"/>
      <c r="E386" s="483"/>
      <c r="F386" s="35"/>
      <c r="G386" s="35"/>
      <c r="H386" s="51" t="s">
        <v>341</v>
      </c>
      <c r="I386" s="3"/>
      <c r="J386" s="331">
        <f t="shared" si="42"/>
        <v>0</v>
      </c>
      <c r="K386" s="331">
        <f t="shared" si="36"/>
        <v>0</v>
      </c>
      <c r="L386" s="326">
        <f>K386*係数!$I$30</f>
        <v>0</v>
      </c>
      <c r="M386" s="326">
        <f>K386*係数!$C$30*0.0000258</f>
        <v>0</v>
      </c>
      <c r="N386" s="10"/>
      <c r="O386" s="3"/>
      <c r="P386" s="483"/>
      <c r="Q386" s="51" t="s">
        <v>341</v>
      </c>
      <c r="R386" s="3"/>
      <c r="S386" s="329">
        <f t="shared" si="37"/>
        <v>0</v>
      </c>
      <c r="T386" s="327">
        <f t="shared" si="38"/>
        <v>0</v>
      </c>
      <c r="U386" s="326">
        <f>T386*係数!$I$30</f>
        <v>0</v>
      </c>
      <c r="V386" s="326">
        <f>T386*係数!$C$30*0.0000258</f>
        <v>0</v>
      </c>
      <c r="W386" s="282">
        <f t="shared" si="39"/>
        <v>0</v>
      </c>
      <c r="X386" s="337">
        <f t="shared" si="40"/>
        <v>0</v>
      </c>
      <c r="Y386" s="244">
        <f t="shared" si="41"/>
        <v>0</v>
      </c>
    </row>
    <row r="387" spans="2:25">
      <c r="B387" s="59" t="s">
        <v>666</v>
      </c>
      <c r="C387" s="10"/>
      <c r="D387" s="3"/>
      <c r="E387" s="483"/>
      <c r="F387" s="35"/>
      <c r="G387" s="35"/>
      <c r="H387" s="51" t="s">
        <v>341</v>
      </c>
      <c r="I387" s="3"/>
      <c r="J387" s="331">
        <f t="shared" si="42"/>
        <v>0</v>
      </c>
      <c r="K387" s="331">
        <f t="shared" si="36"/>
        <v>0</v>
      </c>
      <c r="L387" s="326">
        <f>K387*係数!$I$30</f>
        <v>0</v>
      </c>
      <c r="M387" s="326">
        <f>K387*係数!$C$30*0.0000258</f>
        <v>0</v>
      </c>
      <c r="N387" s="10"/>
      <c r="O387" s="3"/>
      <c r="P387" s="483"/>
      <c r="Q387" s="51" t="s">
        <v>341</v>
      </c>
      <c r="R387" s="3"/>
      <c r="S387" s="329">
        <f t="shared" si="37"/>
        <v>0</v>
      </c>
      <c r="T387" s="327">
        <f t="shared" si="38"/>
        <v>0</v>
      </c>
      <c r="U387" s="326">
        <f>T387*係数!$I$30</f>
        <v>0</v>
      </c>
      <c r="V387" s="326">
        <f>T387*係数!$C$30*0.0000258</f>
        <v>0</v>
      </c>
      <c r="W387" s="282">
        <f t="shared" si="39"/>
        <v>0</v>
      </c>
      <c r="X387" s="337">
        <f t="shared" si="40"/>
        <v>0</v>
      </c>
      <c r="Y387" s="244">
        <f t="shared" si="41"/>
        <v>0</v>
      </c>
    </row>
    <row r="388" spans="2:25">
      <c r="B388" s="59" t="s">
        <v>667</v>
      </c>
      <c r="C388" s="10"/>
      <c r="D388" s="3"/>
      <c r="E388" s="483"/>
      <c r="F388" s="35"/>
      <c r="G388" s="35"/>
      <c r="H388" s="51" t="s">
        <v>341</v>
      </c>
      <c r="I388" s="3"/>
      <c r="J388" s="331">
        <f t="shared" si="42"/>
        <v>0</v>
      </c>
      <c r="K388" s="331">
        <f t="shared" si="36"/>
        <v>0</v>
      </c>
      <c r="L388" s="326">
        <f>K388*係数!$I$30</f>
        <v>0</v>
      </c>
      <c r="M388" s="326">
        <f>K388*係数!$C$30*0.0000258</f>
        <v>0</v>
      </c>
      <c r="N388" s="10"/>
      <c r="O388" s="3"/>
      <c r="P388" s="483"/>
      <c r="Q388" s="51" t="s">
        <v>341</v>
      </c>
      <c r="R388" s="3"/>
      <c r="S388" s="329">
        <f t="shared" si="37"/>
        <v>0</v>
      </c>
      <c r="T388" s="327">
        <f t="shared" si="38"/>
        <v>0</v>
      </c>
      <c r="U388" s="326">
        <f>T388*係数!$I$30</f>
        <v>0</v>
      </c>
      <c r="V388" s="326">
        <f>T388*係数!$C$30*0.0000258</f>
        <v>0</v>
      </c>
      <c r="W388" s="282">
        <f t="shared" si="39"/>
        <v>0</v>
      </c>
      <c r="X388" s="337">
        <f t="shared" si="40"/>
        <v>0</v>
      </c>
      <c r="Y388" s="244">
        <f t="shared" si="41"/>
        <v>0</v>
      </c>
    </row>
    <row r="389" spans="2:25">
      <c r="B389" s="59" t="s">
        <v>668</v>
      </c>
      <c r="C389" s="10"/>
      <c r="D389" s="3"/>
      <c r="E389" s="483"/>
      <c r="F389" s="35"/>
      <c r="G389" s="35"/>
      <c r="H389" s="51" t="s">
        <v>341</v>
      </c>
      <c r="I389" s="3"/>
      <c r="J389" s="331">
        <f t="shared" si="42"/>
        <v>0</v>
      </c>
      <c r="K389" s="331">
        <f t="shared" si="36"/>
        <v>0</v>
      </c>
      <c r="L389" s="326">
        <f>K389*係数!$I$30</f>
        <v>0</v>
      </c>
      <c r="M389" s="326">
        <f>K389*係数!$C$30*0.0000258</f>
        <v>0</v>
      </c>
      <c r="N389" s="10"/>
      <c r="O389" s="3"/>
      <c r="P389" s="483"/>
      <c r="Q389" s="51" t="s">
        <v>341</v>
      </c>
      <c r="R389" s="3"/>
      <c r="S389" s="329">
        <f t="shared" si="37"/>
        <v>0</v>
      </c>
      <c r="T389" s="327">
        <f t="shared" si="38"/>
        <v>0</v>
      </c>
      <c r="U389" s="326">
        <f>T389*係数!$I$30</f>
        <v>0</v>
      </c>
      <c r="V389" s="326">
        <f>T389*係数!$C$30*0.0000258</f>
        <v>0</v>
      </c>
      <c r="W389" s="282">
        <f t="shared" si="39"/>
        <v>0</v>
      </c>
      <c r="X389" s="337">
        <f t="shared" si="40"/>
        <v>0</v>
      </c>
      <c r="Y389" s="244">
        <f t="shared" si="41"/>
        <v>0</v>
      </c>
    </row>
    <row r="390" spans="2:25">
      <c r="B390" s="59" t="s">
        <v>669</v>
      </c>
      <c r="C390" s="10"/>
      <c r="D390" s="3"/>
      <c r="E390" s="483"/>
      <c r="F390" s="35"/>
      <c r="G390" s="35"/>
      <c r="H390" s="51" t="s">
        <v>341</v>
      </c>
      <c r="I390" s="3"/>
      <c r="J390" s="331">
        <f t="shared" si="42"/>
        <v>0</v>
      </c>
      <c r="K390" s="331">
        <f t="shared" si="36"/>
        <v>0</v>
      </c>
      <c r="L390" s="326">
        <f>K390*係数!$I$30</f>
        <v>0</v>
      </c>
      <c r="M390" s="326">
        <f>K390*係数!$C$30*0.0000258</f>
        <v>0</v>
      </c>
      <c r="N390" s="10"/>
      <c r="O390" s="3"/>
      <c r="P390" s="483"/>
      <c r="Q390" s="51" t="s">
        <v>341</v>
      </c>
      <c r="R390" s="3"/>
      <c r="S390" s="329">
        <f t="shared" si="37"/>
        <v>0</v>
      </c>
      <c r="T390" s="327">
        <f t="shared" si="38"/>
        <v>0</v>
      </c>
      <c r="U390" s="326">
        <f>T390*係数!$I$30</f>
        <v>0</v>
      </c>
      <c r="V390" s="326">
        <f>T390*係数!$C$30*0.0000258</f>
        <v>0</v>
      </c>
      <c r="W390" s="282">
        <f t="shared" si="39"/>
        <v>0</v>
      </c>
      <c r="X390" s="337">
        <f t="shared" si="40"/>
        <v>0</v>
      </c>
      <c r="Y390" s="244">
        <f t="shared" si="41"/>
        <v>0</v>
      </c>
    </row>
    <row r="391" spans="2:25">
      <c r="B391" s="59" t="s">
        <v>670</v>
      </c>
      <c r="C391" s="10"/>
      <c r="D391" s="3"/>
      <c r="E391" s="483"/>
      <c r="F391" s="35"/>
      <c r="G391" s="35"/>
      <c r="H391" s="51" t="s">
        <v>341</v>
      </c>
      <c r="I391" s="3"/>
      <c r="J391" s="331">
        <f t="shared" si="42"/>
        <v>0</v>
      </c>
      <c r="K391" s="331">
        <f t="shared" si="36"/>
        <v>0</v>
      </c>
      <c r="L391" s="326">
        <f>K391*係数!$I$30</f>
        <v>0</v>
      </c>
      <c r="M391" s="326">
        <f>K391*係数!$C$30*0.0000258</f>
        <v>0</v>
      </c>
      <c r="N391" s="10"/>
      <c r="O391" s="3"/>
      <c r="P391" s="483"/>
      <c r="Q391" s="51" t="s">
        <v>341</v>
      </c>
      <c r="R391" s="3"/>
      <c r="S391" s="329">
        <f t="shared" si="37"/>
        <v>0</v>
      </c>
      <c r="T391" s="327">
        <f t="shared" si="38"/>
        <v>0</v>
      </c>
      <c r="U391" s="326">
        <f>T391*係数!$I$30</f>
        <v>0</v>
      </c>
      <c r="V391" s="326">
        <f>T391*係数!$C$30*0.0000258</f>
        <v>0</v>
      </c>
      <c r="W391" s="282">
        <f t="shared" si="39"/>
        <v>0</v>
      </c>
      <c r="X391" s="337">
        <f t="shared" si="40"/>
        <v>0</v>
      </c>
      <c r="Y391" s="244">
        <f t="shared" si="41"/>
        <v>0</v>
      </c>
    </row>
    <row r="392" spans="2:25">
      <c r="B392" s="59" t="s">
        <v>671</v>
      </c>
      <c r="C392" s="10"/>
      <c r="D392" s="3"/>
      <c r="E392" s="483"/>
      <c r="F392" s="35"/>
      <c r="G392" s="35"/>
      <c r="H392" s="51" t="s">
        <v>341</v>
      </c>
      <c r="I392" s="3"/>
      <c r="J392" s="331">
        <f t="shared" si="42"/>
        <v>0</v>
      </c>
      <c r="K392" s="331">
        <f t="shared" si="36"/>
        <v>0</v>
      </c>
      <c r="L392" s="326">
        <f>K392*係数!$I$30</f>
        <v>0</v>
      </c>
      <c r="M392" s="326">
        <f>K392*係数!$C$30*0.0000258</f>
        <v>0</v>
      </c>
      <c r="N392" s="10"/>
      <c r="O392" s="3"/>
      <c r="P392" s="483"/>
      <c r="Q392" s="51" t="s">
        <v>341</v>
      </c>
      <c r="R392" s="3"/>
      <c r="S392" s="329">
        <f t="shared" si="37"/>
        <v>0</v>
      </c>
      <c r="T392" s="327">
        <f t="shared" si="38"/>
        <v>0</v>
      </c>
      <c r="U392" s="326">
        <f>T392*係数!$I$30</f>
        <v>0</v>
      </c>
      <c r="V392" s="326">
        <f>T392*係数!$C$30*0.0000258</f>
        <v>0</v>
      </c>
      <c r="W392" s="282">
        <f t="shared" si="39"/>
        <v>0</v>
      </c>
      <c r="X392" s="337">
        <f t="shared" si="40"/>
        <v>0</v>
      </c>
      <c r="Y392" s="244">
        <f t="shared" si="41"/>
        <v>0</v>
      </c>
    </row>
    <row r="393" spans="2:25">
      <c r="B393" s="59" t="s">
        <v>672</v>
      </c>
      <c r="C393" s="10"/>
      <c r="D393" s="3"/>
      <c r="E393" s="483"/>
      <c r="F393" s="35"/>
      <c r="G393" s="35"/>
      <c r="H393" s="51" t="s">
        <v>341</v>
      </c>
      <c r="I393" s="3"/>
      <c r="J393" s="331">
        <f t="shared" si="42"/>
        <v>0</v>
      </c>
      <c r="K393" s="331">
        <f t="shared" si="36"/>
        <v>0</v>
      </c>
      <c r="L393" s="326">
        <f>K393*係数!$I$30</f>
        <v>0</v>
      </c>
      <c r="M393" s="326">
        <f>K393*係数!$C$30*0.0000258</f>
        <v>0</v>
      </c>
      <c r="N393" s="10"/>
      <c r="O393" s="3"/>
      <c r="P393" s="483"/>
      <c r="Q393" s="51" t="s">
        <v>341</v>
      </c>
      <c r="R393" s="3"/>
      <c r="S393" s="329">
        <f t="shared" si="37"/>
        <v>0</v>
      </c>
      <c r="T393" s="327">
        <f t="shared" si="38"/>
        <v>0</v>
      </c>
      <c r="U393" s="326">
        <f>T393*係数!$I$30</f>
        <v>0</v>
      </c>
      <c r="V393" s="326">
        <f>T393*係数!$C$30*0.0000258</f>
        <v>0</v>
      </c>
      <c r="W393" s="282">
        <f t="shared" si="39"/>
        <v>0</v>
      </c>
      <c r="X393" s="337">
        <f t="shared" si="40"/>
        <v>0</v>
      </c>
      <c r="Y393" s="244">
        <f t="shared" si="41"/>
        <v>0</v>
      </c>
    </row>
    <row r="394" spans="2:25">
      <c r="B394" s="59" t="s">
        <v>673</v>
      </c>
      <c r="C394" s="10"/>
      <c r="D394" s="3"/>
      <c r="E394" s="483"/>
      <c r="F394" s="35"/>
      <c r="G394" s="35"/>
      <c r="H394" s="51" t="s">
        <v>341</v>
      </c>
      <c r="I394" s="3"/>
      <c r="J394" s="331">
        <f t="shared" si="42"/>
        <v>0</v>
      </c>
      <c r="K394" s="331">
        <f t="shared" si="36"/>
        <v>0</v>
      </c>
      <c r="L394" s="326">
        <f>K394*係数!$I$30</f>
        <v>0</v>
      </c>
      <c r="M394" s="326">
        <f>K394*係数!$C$30*0.0000258</f>
        <v>0</v>
      </c>
      <c r="N394" s="10"/>
      <c r="O394" s="3"/>
      <c r="P394" s="483"/>
      <c r="Q394" s="51" t="s">
        <v>341</v>
      </c>
      <c r="R394" s="3"/>
      <c r="S394" s="329">
        <f t="shared" si="37"/>
        <v>0</v>
      </c>
      <c r="T394" s="327">
        <f t="shared" si="38"/>
        <v>0</v>
      </c>
      <c r="U394" s="326">
        <f>T394*係数!$I$30</f>
        <v>0</v>
      </c>
      <c r="V394" s="326">
        <f>T394*係数!$C$30*0.0000258</f>
        <v>0</v>
      </c>
      <c r="W394" s="282">
        <f t="shared" si="39"/>
        <v>0</v>
      </c>
      <c r="X394" s="337">
        <f t="shared" si="40"/>
        <v>0</v>
      </c>
      <c r="Y394" s="244">
        <f t="shared" si="41"/>
        <v>0</v>
      </c>
    </row>
    <row r="395" spans="2:25">
      <c r="B395" s="59" t="s">
        <v>674</v>
      </c>
      <c r="C395" s="10"/>
      <c r="D395" s="3"/>
      <c r="E395" s="483"/>
      <c r="F395" s="35"/>
      <c r="G395" s="35"/>
      <c r="H395" s="51" t="s">
        <v>341</v>
      </c>
      <c r="I395" s="3"/>
      <c r="J395" s="331">
        <f t="shared" si="42"/>
        <v>0</v>
      </c>
      <c r="K395" s="331">
        <f t="shared" si="36"/>
        <v>0</v>
      </c>
      <c r="L395" s="326">
        <f>K395*係数!$I$30</f>
        <v>0</v>
      </c>
      <c r="M395" s="326">
        <f>K395*係数!$C$30*0.0000258</f>
        <v>0</v>
      </c>
      <c r="N395" s="10"/>
      <c r="O395" s="3"/>
      <c r="P395" s="483"/>
      <c r="Q395" s="51" t="s">
        <v>341</v>
      </c>
      <c r="R395" s="3"/>
      <c r="S395" s="329">
        <f t="shared" si="37"/>
        <v>0</v>
      </c>
      <c r="T395" s="327">
        <f t="shared" si="38"/>
        <v>0</v>
      </c>
      <c r="U395" s="326">
        <f>T395*係数!$I$30</f>
        <v>0</v>
      </c>
      <c r="V395" s="326">
        <f>T395*係数!$C$30*0.0000258</f>
        <v>0</v>
      </c>
      <c r="W395" s="282">
        <f t="shared" si="39"/>
        <v>0</v>
      </c>
      <c r="X395" s="337">
        <f t="shared" si="40"/>
        <v>0</v>
      </c>
      <c r="Y395" s="244">
        <f t="shared" si="41"/>
        <v>0</v>
      </c>
    </row>
    <row r="396" spans="2:25">
      <c r="B396" s="59" t="s">
        <v>675</v>
      </c>
      <c r="C396" s="10"/>
      <c r="D396" s="3"/>
      <c r="E396" s="483"/>
      <c r="F396" s="35"/>
      <c r="G396" s="35"/>
      <c r="H396" s="51" t="s">
        <v>341</v>
      </c>
      <c r="I396" s="3"/>
      <c r="J396" s="331">
        <f t="shared" si="42"/>
        <v>0</v>
      </c>
      <c r="K396" s="331">
        <f t="shared" si="36"/>
        <v>0</v>
      </c>
      <c r="L396" s="326">
        <f>K396*係数!$I$30</f>
        <v>0</v>
      </c>
      <c r="M396" s="326">
        <f>K396*係数!$C$30*0.0000258</f>
        <v>0</v>
      </c>
      <c r="N396" s="10"/>
      <c r="O396" s="3"/>
      <c r="P396" s="483"/>
      <c r="Q396" s="51" t="s">
        <v>341</v>
      </c>
      <c r="R396" s="3"/>
      <c r="S396" s="329">
        <f t="shared" si="37"/>
        <v>0</v>
      </c>
      <c r="T396" s="327">
        <f t="shared" si="38"/>
        <v>0</v>
      </c>
      <c r="U396" s="326">
        <f>T396*係数!$I$30</f>
        <v>0</v>
      </c>
      <c r="V396" s="326">
        <f>T396*係数!$C$30*0.0000258</f>
        <v>0</v>
      </c>
      <c r="W396" s="282">
        <f t="shared" si="39"/>
        <v>0</v>
      </c>
      <c r="X396" s="337">
        <f t="shared" si="40"/>
        <v>0</v>
      </c>
      <c r="Y396" s="244">
        <f t="shared" si="41"/>
        <v>0</v>
      </c>
    </row>
    <row r="397" spans="2:25">
      <c r="B397" s="59" t="s">
        <v>676</v>
      </c>
      <c r="C397" s="10"/>
      <c r="D397" s="3"/>
      <c r="E397" s="483"/>
      <c r="F397" s="35"/>
      <c r="G397" s="35"/>
      <c r="H397" s="51" t="s">
        <v>341</v>
      </c>
      <c r="I397" s="3"/>
      <c r="J397" s="331">
        <f t="shared" si="42"/>
        <v>0</v>
      </c>
      <c r="K397" s="331">
        <f t="shared" si="36"/>
        <v>0</v>
      </c>
      <c r="L397" s="326">
        <f>K397*係数!$I$30</f>
        <v>0</v>
      </c>
      <c r="M397" s="326">
        <f>K397*係数!$C$30*0.0000258</f>
        <v>0</v>
      </c>
      <c r="N397" s="10"/>
      <c r="O397" s="3"/>
      <c r="P397" s="483"/>
      <c r="Q397" s="51" t="s">
        <v>341</v>
      </c>
      <c r="R397" s="3"/>
      <c r="S397" s="329">
        <f t="shared" si="37"/>
        <v>0</v>
      </c>
      <c r="T397" s="327">
        <f t="shared" si="38"/>
        <v>0</v>
      </c>
      <c r="U397" s="326">
        <f>T397*係数!$I$30</f>
        <v>0</v>
      </c>
      <c r="V397" s="326">
        <f>T397*係数!$C$30*0.0000258</f>
        <v>0</v>
      </c>
      <c r="W397" s="282">
        <f t="shared" si="39"/>
        <v>0</v>
      </c>
      <c r="X397" s="337">
        <f t="shared" si="40"/>
        <v>0</v>
      </c>
      <c r="Y397" s="244">
        <f t="shared" si="41"/>
        <v>0</v>
      </c>
    </row>
    <row r="398" spans="2:25">
      <c r="B398" s="59" t="s">
        <v>677</v>
      </c>
      <c r="C398" s="10"/>
      <c r="D398" s="3"/>
      <c r="E398" s="483"/>
      <c r="F398" s="35"/>
      <c r="G398" s="35"/>
      <c r="H398" s="51" t="s">
        <v>341</v>
      </c>
      <c r="I398" s="3"/>
      <c r="J398" s="331">
        <f t="shared" si="42"/>
        <v>0</v>
      </c>
      <c r="K398" s="331">
        <f t="shared" si="36"/>
        <v>0</v>
      </c>
      <c r="L398" s="326">
        <f>K398*係数!$I$30</f>
        <v>0</v>
      </c>
      <c r="M398" s="326">
        <f>K398*係数!$C$30*0.0000258</f>
        <v>0</v>
      </c>
      <c r="N398" s="10"/>
      <c r="O398" s="3"/>
      <c r="P398" s="483"/>
      <c r="Q398" s="51" t="s">
        <v>341</v>
      </c>
      <c r="R398" s="3"/>
      <c r="S398" s="329">
        <f t="shared" si="37"/>
        <v>0</v>
      </c>
      <c r="T398" s="327">
        <f t="shared" si="38"/>
        <v>0</v>
      </c>
      <c r="U398" s="326">
        <f>T398*係数!$I$30</f>
        <v>0</v>
      </c>
      <c r="V398" s="326">
        <f>T398*係数!$C$30*0.0000258</f>
        <v>0</v>
      </c>
      <c r="W398" s="282">
        <f t="shared" si="39"/>
        <v>0</v>
      </c>
      <c r="X398" s="337">
        <f t="shared" si="40"/>
        <v>0</v>
      </c>
      <c r="Y398" s="244">
        <f t="shared" si="41"/>
        <v>0</v>
      </c>
    </row>
    <row r="399" spans="2:25">
      <c r="B399" s="59" t="s">
        <v>678</v>
      </c>
      <c r="C399" s="10"/>
      <c r="D399" s="3"/>
      <c r="E399" s="483"/>
      <c r="F399" s="35"/>
      <c r="G399" s="35"/>
      <c r="H399" s="51" t="s">
        <v>341</v>
      </c>
      <c r="I399" s="3"/>
      <c r="J399" s="331">
        <f t="shared" si="42"/>
        <v>0</v>
      </c>
      <c r="K399" s="331">
        <f t="shared" si="36"/>
        <v>0</v>
      </c>
      <c r="L399" s="326">
        <f>K399*係数!$I$30</f>
        <v>0</v>
      </c>
      <c r="M399" s="326">
        <f>K399*係数!$C$30*0.0000258</f>
        <v>0</v>
      </c>
      <c r="N399" s="10"/>
      <c r="O399" s="3"/>
      <c r="P399" s="483"/>
      <c r="Q399" s="51" t="s">
        <v>341</v>
      </c>
      <c r="R399" s="3"/>
      <c r="S399" s="329">
        <f t="shared" si="37"/>
        <v>0</v>
      </c>
      <c r="T399" s="327">
        <f t="shared" si="38"/>
        <v>0</v>
      </c>
      <c r="U399" s="326">
        <f>T399*係数!$I$30</f>
        <v>0</v>
      </c>
      <c r="V399" s="326">
        <f>T399*係数!$C$30*0.0000258</f>
        <v>0</v>
      </c>
      <c r="W399" s="282">
        <f t="shared" si="39"/>
        <v>0</v>
      </c>
      <c r="X399" s="337">
        <f t="shared" si="40"/>
        <v>0</v>
      </c>
      <c r="Y399" s="244">
        <f t="shared" si="41"/>
        <v>0</v>
      </c>
    </row>
    <row r="400" spans="2:25">
      <c r="B400" s="59" t="s">
        <v>679</v>
      </c>
      <c r="C400" s="10"/>
      <c r="D400" s="3"/>
      <c r="E400" s="483"/>
      <c r="F400" s="35"/>
      <c r="G400" s="35"/>
      <c r="H400" s="51" t="s">
        <v>341</v>
      </c>
      <c r="I400" s="3"/>
      <c r="J400" s="331">
        <f t="shared" si="42"/>
        <v>0</v>
      </c>
      <c r="K400" s="331">
        <f t="shared" si="36"/>
        <v>0</v>
      </c>
      <c r="L400" s="326">
        <f>K400*係数!$I$30</f>
        <v>0</v>
      </c>
      <c r="M400" s="326">
        <f>K400*係数!$C$30*0.0000258</f>
        <v>0</v>
      </c>
      <c r="N400" s="10"/>
      <c r="O400" s="3"/>
      <c r="P400" s="483"/>
      <c r="Q400" s="51" t="s">
        <v>341</v>
      </c>
      <c r="R400" s="3"/>
      <c r="S400" s="329">
        <f t="shared" si="37"/>
        <v>0</v>
      </c>
      <c r="T400" s="327">
        <f t="shared" si="38"/>
        <v>0</v>
      </c>
      <c r="U400" s="326">
        <f>T400*係数!$I$30</f>
        <v>0</v>
      </c>
      <c r="V400" s="326">
        <f>T400*係数!$C$30*0.0000258</f>
        <v>0</v>
      </c>
      <c r="W400" s="282">
        <f t="shared" si="39"/>
        <v>0</v>
      </c>
      <c r="X400" s="337">
        <f t="shared" si="40"/>
        <v>0</v>
      </c>
      <c r="Y400" s="244">
        <f t="shared" si="41"/>
        <v>0</v>
      </c>
    </row>
    <row r="401" spans="2:25">
      <c r="B401" s="59" t="s">
        <v>680</v>
      </c>
      <c r="C401" s="10"/>
      <c r="D401" s="3"/>
      <c r="E401" s="483"/>
      <c r="F401" s="35"/>
      <c r="G401" s="35"/>
      <c r="H401" s="51" t="s">
        <v>341</v>
      </c>
      <c r="I401" s="3"/>
      <c r="J401" s="331">
        <f t="shared" si="42"/>
        <v>0</v>
      </c>
      <c r="K401" s="331">
        <f t="shared" si="36"/>
        <v>0</v>
      </c>
      <c r="L401" s="326">
        <f>K401*係数!$I$30</f>
        <v>0</v>
      </c>
      <c r="M401" s="326">
        <f>K401*係数!$C$30*0.0000258</f>
        <v>0</v>
      </c>
      <c r="N401" s="10"/>
      <c r="O401" s="3"/>
      <c r="P401" s="483"/>
      <c r="Q401" s="51" t="s">
        <v>341</v>
      </c>
      <c r="R401" s="3"/>
      <c r="S401" s="329">
        <f t="shared" si="37"/>
        <v>0</v>
      </c>
      <c r="T401" s="327">
        <f t="shared" si="38"/>
        <v>0</v>
      </c>
      <c r="U401" s="326">
        <f>T401*係数!$I$30</f>
        <v>0</v>
      </c>
      <c r="V401" s="326">
        <f>T401*係数!$C$30*0.0000258</f>
        <v>0</v>
      </c>
      <c r="W401" s="282">
        <f t="shared" si="39"/>
        <v>0</v>
      </c>
      <c r="X401" s="337">
        <f t="shared" si="40"/>
        <v>0</v>
      </c>
      <c r="Y401" s="244">
        <f t="shared" si="41"/>
        <v>0</v>
      </c>
    </row>
    <row r="402" spans="2:25">
      <c r="B402" s="59" t="s">
        <v>681</v>
      </c>
      <c r="C402" s="10"/>
      <c r="D402" s="3"/>
      <c r="E402" s="483"/>
      <c r="F402" s="35"/>
      <c r="G402" s="35"/>
      <c r="H402" s="51" t="s">
        <v>341</v>
      </c>
      <c r="I402" s="3"/>
      <c r="J402" s="331">
        <f t="shared" si="42"/>
        <v>0</v>
      </c>
      <c r="K402" s="331">
        <f t="shared" si="36"/>
        <v>0</v>
      </c>
      <c r="L402" s="326">
        <f>K402*係数!$I$30</f>
        <v>0</v>
      </c>
      <c r="M402" s="326">
        <f>K402*係数!$C$30*0.0000258</f>
        <v>0</v>
      </c>
      <c r="N402" s="10"/>
      <c r="O402" s="3"/>
      <c r="P402" s="483"/>
      <c r="Q402" s="51" t="s">
        <v>341</v>
      </c>
      <c r="R402" s="3"/>
      <c r="S402" s="329">
        <f t="shared" si="37"/>
        <v>0</v>
      </c>
      <c r="T402" s="327">
        <f t="shared" si="38"/>
        <v>0</v>
      </c>
      <c r="U402" s="326">
        <f>T402*係数!$I$30</f>
        <v>0</v>
      </c>
      <c r="V402" s="326">
        <f>T402*係数!$C$30*0.0000258</f>
        <v>0</v>
      </c>
      <c r="W402" s="282">
        <f t="shared" si="39"/>
        <v>0</v>
      </c>
      <c r="X402" s="337">
        <f t="shared" si="40"/>
        <v>0</v>
      </c>
      <c r="Y402" s="244">
        <f t="shared" si="41"/>
        <v>0</v>
      </c>
    </row>
    <row r="403" spans="2:25">
      <c r="B403" s="59" t="s">
        <v>682</v>
      </c>
      <c r="C403" s="10"/>
      <c r="D403" s="3"/>
      <c r="E403" s="483"/>
      <c r="F403" s="35"/>
      <c r="G403" s="35"/>
      <c r="H403" s="51" t="s">
        <v>341</v>
      </c>
      <c r="I403" s="3"/>
      <c r="J403" s="331">
        <f t="shared" si="42"/>
        <v>0</v>
      </c>
      <c r="K403" s="331">
        <f t="shared" si="36"/>
        <v>0</v>
      </c>
      <c r="L403" s="326">
        <f>K403*係数!$I$30</f>
        <v>0</v>
      </c>
      <c r="M403" s="326">
        <f>K403*係数!$C$30*0.0000258</f>
        <v>0</v>
      </c>
      <c r="N403" s="10"/>
      <c r="O403" s="3"/>
      <c r="P403" s="483"/>
      <c r="Q403" s="51" t="s">
        <v>341</v>
      </c>
      <c r="R403" s="3"/>
      <c r="S403" s="329">
        <f t="shared" si="37"/>
        <v>0</v>
      </c>
      <c r="T403" s="327">
        <f t="shared" si="38"/>
        <v>0</v>
      </c>
      <c r="U403" s="326">
        <f>T403*係数!$I$30</f>
        <v>0</v>
      </c>
      <c r="V403" s="326">
        <f>T403*係数!$C$30*0.0000258</f>
        <v>0</v>
      </c>
      <c r="W403" s="282">
        <f t="shared" si="39"/>
        <v>0</v>
      </c>
      <c r="X403" s="337">
        <f t="shared" si="40"/>
        <v>0</v>
      </c>
      <c r="Y403" s="244">
        <f t="shared" si="41"/>
        <v>0</v>
      </c>
    </row>
    <row r="404" spans="2:25">
      <c r="B404" s="59" t="s">
        <v>683</v>
      </c>
      <c r="C404" s="10"/>
      <c r="D404" s="3"/>
      <c r="E404" s="483"/>
      <c r="F404" s="35"/>
      <c r="G404" s="35"/>
      <c r="H404" s="51" t="s">
        <v>341</v>
      </c>
      <c r="I404" s="3"/>
      <c r="J404" s="331">
        <f t="shared" si="42"/>
        <v>0</v>
      </c>
      <c r="K404" s="331">
        <f t="shared" si="36"/>
        <v>0</v>
      </c>
      <c r="L404" s="326">
        <f>K404*係数!$I$30</f>
        <v>0</v>
      </c>
      <c r="M404" s="326">
        <f>K404*係数!$C$30*0.0000258</f>
        <v>0</v>
      </c>
      <c r="N404" s="10"/>
      <c r="O404" s="3"/>
      <c r="P404" s="483"/>
      <c r="Q404" s="51" t="s">
        <v>341</v>
      </c>
      <c r="R404" s="3"/>
      <c r="S404" s="329">
        <f t="shared" si="37"/>
        <v>0</v>
      </c>
      <c r="T404" s="327">
        <f t="shared" si="38"/>
        <v>0</v>
      </c>
      <c r="U404" s="326">
        <f>T404*係数!$I$30</f>
        <v>0</v>
      </c>
      <c r="V404" s="326">
        <f>T404*係数!$C$30*0.0000258</f>
        <v>0</v>
      </c>
      <c r="W404" s="282">
        <f t="shared" si="39"/>
        <v>0</v>
      </c>
      <c r="X404" s="337">
        <f t="shared" si="40"/>
        <v>0</v>
      </c>
      <c r="Y404" s="244">
        <f t="shared" si="41"/>
        <v>0</v>
      </c>
    </row>
    <row r="405" spans="2:25">
      <c r="B405" s="59" t="s">
        <v>684</v>
      </c>
      <c r="C405" s="10"/>
      <c r="D405" s="3"/>
      <c r="E405" s="483"/>
      <c r="F405" s="35"/>
      <c r="G405" s="35"/>
      <c r="H405" s="51" t="s">
        <v>341</v>
      </c>
      <c r="I405" s="3"/>
      <c r="J405" s="331">
        <f t="shared" si="42"/>
        <v>0</v>
      </c>
      <c r="K405" s="331">
        <f t="shared" ref="K405:K468" si="43">E405*D405*J405/1000</f>
        <v>0</v>
      </c>
      <c r="L405" s="326">
        <f>K405*係数!$I$30</f>
        <v>0</v>
      </c>
      <c r="M405" s="326">
        <f>K405*係数!$C$30*0.0000258</f>
        <v>0</v>
      </c>
      <c r="N405" s="10"/>
      <c r="O405" s="3"/>
      <c r="P405" s="483"/>
      <c r="Q405" s="51" t="s">
        <v>341</v>
      </c>
      <c r="R405" s="3"/>
      <c r="S405" s="329">
        <f t="shared" ref="S405:S468" si="44">IF(Q405="○",F405*G405*R405/100,F405*G405)</f>
        <v>0</v>
      </c>
      <c r="T405" s="327">
        <f t="shared" ref="T405:T468" si="45">P405*O405*S405/1000</f>
        <v>0</v>
      </c>
      <c r="U405" s="326">
        <f>T405*係数!$I$30</f>
        <v>0</v>
      </c>
      <c r="V405" s="326">
        <f>T405*係数!$C$30*0.0000258</f>
        <v>0</v>
      </c>
      <c r="W405" s="282">
        <f t="shared" ref="W405:W468" si="46">K405-T405</f>
        <v>0</v>
      </c>
      <c r="X405" s="337">
        <f t="shared" ref="X405:X468" si="47">L405-U405</f>
        <v>0</v>
      </c>
      <c r="Y405" s="244">
        <f t="shared" ref="Y405:Y468" si="48">M405-V405</f>
        <v>0</v>
      </c>
    </row>
    <row r="406" spans="2:25">
      <c r="B406" s="59" t="s">
        <v>685</v>
      </c>
      <c r="C406" s="10"/>
      <c r="D406" s="3"/>
      <c r="E406" s="483"/>
      <c r="F406" s="35"/>
      <c r="G406" s="35"/>
      <c r="H406" s="51" t="s">
        <v>341</v>
      </c>
      <c r="I406" s="3"/>
      <c r="J406" s="331">
        <f t="shared" ref="J406:J469" si="49">IF(H406="○",F406*G406*I406/100,F406*G406)</f>
        <v>0</v>
      </c>
      <c r="K406" s="331">
        <f t="shared" si="43"/>
        <v>0</v>
      </c>
      <c r="L406" s="326">
        <f>K406*係数!$I$30</f>
        <v>0</v>
      </c>
      <c r="M406" s="326">
        <f>K406*係数!$C$30*0.0000258</f>
        <v>0</v>
      </c>
      <c r="N406" s="10"/>
      <c r="O406" s="3"/>
      <c r="P406" s="483"/>
      <c r="Q406" s="51" t="s">
        <v>341</v>
      </c>
      <c r="R406" s="3"/>
      <c r="S406" s="329">
        <f t="shared" si="44"/>
        <v>0</v>
      </c>
      <c r="T406" s="327">
        <f t="shared" si="45"/>
        <v>0</v>
      </c>
      <c r="U406" s="326">
        <f>T406*係数!$I$30</f>
        <v>0</v>
      </c>
      <c r="V406" s="326">
        <f>T406*係数!$C$30*0.0000258</f>
        <v>0</v>
      </c>
      <c r="W406" s="282">
        <f t="shared" si="46"/>
        <v>0</v>
      </c>
      <c r="X406" s="337">
        <f t="shared" si="47"/>
        <v>0</v>
      </c>
      <c r="Y406" s="244">
        <f t="shared" si="48"/>
        <v>0</v>
      </c>
    </row>
    <row r="407" spans="2:25">
      <c r="B407" s="59" t="s">
        <v>686</v>
      </c>
      <c r="C407" s="10"/>
      <c r="D407" s="3"/>
      <c r="E407" s="483"/>
      <c r="F407" s="35"/>
      <c r="G407" s="35"/>
      <c r="H407" s="51" t="s">
        <v>341</v>
      </c>
      <c r="I407" s="3"/>
      <c r="J407" s="331">
        <f t="shared" si="49"/>
        <v>0</v>
      </c>
      <c r="K407" s="331">
        <f t="shared" si="43"/>
        <v>0</v>
      </c>
      <c r="L407" s="326">
        <f>K407*係数!$I$30</f>
        <v>0</v>
      </c>
      <c r="M407" s="326">
        <f>K407*係数!$C$30*0.0000258</f>
        <v>0</v>
      </c>
      <c r="N407" s="10"/>
      <c r="O407" s="3"/>
      <c r="P407" s="483"/>
      <c r="Q407" s="51" t="s">
        <v>341</v>
      </c>
      <c r="R407" s="3"/>
      <c r="S407" s="329">
        <f t="shared" si="44"/>
        <v>0</v>
      </c>
      <c r="T407" s="327">
        <f t="shared" si="45"/>
        <v>0</v>
      </c>
      <c r="U407" s="326">
        <f>T407*係数!$I$30</f>
        <v>0</v>
      </c>
      <c r="V407" s="326">
        <f>T407*係数!$C$30*0.0000258</f>
        <v>0</v>
      </c>
      <c r="W407" s="282">
        <f t="shared" si="46"/>
        <v>0</v>
      </c>
      <c r="X407" s="337">
        <f t="shared" si="47"/>
        <v>0</v>
      </c>
      <c r="Y407" s="244">
        <f t="shared" si="48"/>
        <v>0</v>
      </c>
    </row>
    <row r="408" spans="2:25">
      <c r="B408" s="59" t="s">
        <v>687</v>
      </c>
      <c r="C408" s="10"/>
      <c r="D408" s="3"/>
      <c r="E408" s="483"/>
      <c r="F408" s="35"/>
      <c r="G408" s="35"/>
      <c r="H408" s="51" t="s">
        <v>341</v>
      </c>
      <c r="I408" s="3"/>
      <c r="J408" s="331">
        <f t="shared" si="49"/>
        <v>0</v>
      </c>
      <c r="K408" s="331">
        <f t="shared" si="43"/>
        <v>0</v>
      </c>
      <c r="L408" s="326">
        <f>K408*係数!$I$30</f>
        <v>0</v>
      </c>
      <c r="M408" s="326">
        <f>K408*係数!$C$30*0.0000258</f>
        <v>0</v>
      </c>
      <c r="N408" s="10"/>
      <c r="O408" s="3"/>
      <c r="P408" s="483"/>
      <c r="Q408" s="51" t="s">
        <v>341</v>
      </c>
      <c r="R408" s="3"/>
      <c r="S408" s="329">
        <f t="shared" si="44"/>
        <v>0</v>
      </c>
      <c r="T408" s="327">
        <f t="shared" si="45"/>
        <v>0</v>
      </c>
      <c r="U408" s="326">
        <f>T408*係数!$I$30</f>
        <v>0</v>
      </c>
      <c r="V408" s="326">
        <f>T408*係数!$C$30*0.0000258</f>
        <v>0</v>
      </c>
      <c r="W408" s="282">
        <f t="shared" si="46"/>
        <v>0</v>
      </c>
      <c r="X408" s="337">
        <f t="shared" si="47"/>
        <v>0</v>
      </c>
      <c r="Y408" s="244">
        <f t="shared" si="48"/>
        <v>0</v>
      </c>
    </row>
    <row r="409" spans="2:25">
      <c r="B409" s="59" t="s">
        <v>688</v>
      </c>
      <c r="C409" s="10"/>
      <c r="D409" s="3"/>
      <c r="E409" s="483"/>
      <c r="F409" s="35"/>
      <c r="G409" s="35"/>
      <c r="H409" s="51" t="s">
        <v>341</v>
      </c>
      <c r="I409" s="3"/>
      <c r="J409" s="331">
        <f t="shared" si="49"/>
        <v>0</v>
      </c>
      <c r="K409" s="331">
        <f t="shared" si="43"/>
        <v>0</v>
      </c>
      <c r="L409" s="326">
        <f>K409*係数!$I$30</f>
        <v>0</v>
      </c>
      <c r="M409" s="326">
        <f>K409*係数!$C$30*0.0000258</f>
        <v>0</v>
      </c>
      <c r="N409" s="10"/>
      <c r="O409" s="3"/>
      <c r="P409" s="483"/>
      <c r="Q409" s="51" t="s">
        <v>341</v>
      </c>
      <c r="R409" s="3"/>
      <c r="S409" s="329">
        <f t="shared" si="44"/>
        <v>0</v>
      </c>
      <c r="T409" s="327">
        <f t="shared" si="45"/>
        <v>0</v>
      </c>
      <c r="U409" s="326">
        <f>T409*係数!$I$30</f>
        <v>0</v>
      </c>
      <c r="V409" s="326">
        <f>T409*係数!$C$30*0.0000258</f>
        <v>0</v>
      </c>
      <c r="W409" s="282">
        <f t="shared" si="46"/>
        <v>0</v>
      </c>
      <c r="X409" s="337">
        <f t="shared" si="47"/>
        <v>0</v>
      </c>
      <c r="Y409" s="244">
        <f t="shared" si="48"/>
        <v>0</v>
      </c>
    </row>
    <row r="410" spans="2:25">
      <c r="B410" s="59" t="s">
        <v>689</v>
      </c>
      <c r="C410" s="10"/>
      <c r="D410" s="3"/>
      <c r="E410" s="483"/>
      <c r="F410" s="35"/>
      <c r="G410" s="35"/>
      <c r="H410" s="51" t="s">
        <v>341</v>
      </c>
      <c r="I410" s="3"/>
      <c r="J410" s="331">
        <f t="shared" si="49"/>
        <v>0</v>
      </c>
      <c r="K410" s="331">
        <f t="shared" si="43"/>
        <v>0</v>
      </c>
      <c r="L410" s="326">
        <f>K410*係数!$I$30</f>
        <v>0</v>
      </c>
      <c r="M410" s="326">
        <f>K410*係数!$C$30*0.0000258</f>
        <v>0</v>
      </c>
      <c r="N410" s="10"/>
      <c r="O410" s="3"/>
      <c r="P410" s="483"/>
      <c r="Q410" s="51" t="s">
        <v>341</v>
      </c>
      <c r="R410" s="3"/>
      <c r="S410" s="329">
        <f t="shared" si="44"/>
        <v>0</v>
      </c>
      <c r="T410" s="327">
        <f t="shared" si="45"/>
        <v>0</v>
      </c>
      <c r="U410" s="326">
        <f>T410*係数!$I$30</f>
        <v>0</v>
      </c>
      <c r="V410" s="326">
        <f>T410*係数!$C$30*0.0000258</f>
        <v>0</v>
      </c>
      <c r="W410" s="282">
        <f t="shared" si="46"/>
        <v>0</v>
      </c>
      <c r="X410" s="337">
        <f t="shared" si="47"/>
        <v>0</v>
      </c>
      <c r="Y410" s="244">
        <f t="shared" si="48"/>
        <v>0</v>
      </c>
    </row>
    <row r="411" spans="2:25">
      <c r="B411" s="59" t="s">
        <v>690</v>
      </c>
      <c r="C411" s="10"/>
      <c r="D411" s="3"/>
      <c r="E411" s="483"/>
      <c r="F411" s="35"/>
      <c r="G411" s="35"/>
      <c r="H411" s="51" t="s">
        <v>341</v>
      </c>
      <c r="I411" s="3"/>
      <c r="J411" s="331">
        <f t="shared" si="49"/>
        <v>0</v>
      </c>
      <c r="K411" s="331">
        <f t="shared" si="43"/>
        <v>0</v>
      </c>
      <c r="L411" s="326">
        <f>K411*係数!$I$30</f>
        <v>0</v>
      </c>
      <c r="M411" s="326">
        <f>K411*係数!$C$30*0.0000258</f>
        <v>0</v>
      </c>
      <c r="N411" s="10"/>
      <c r="O411" s="3"/>
      <c r="P411" s="483"/>
      <c r="Q411" s="51" t="s">
        <v>341</v>
      </c>
      <c r="R411" s="3"/>
      <c r="S411" s="329">
        <f t="shared" si="44"/>
        <v>0</v>
      </c>
      <c r="T411" s="327">
        <f t="shared" si="45"/>
        <v>0</v>
      </c>
      <c r="U411" s="326">
        <f>T411*係数!$I$30</f>
        <v>0</v>
      </c>
      <c r="V411" s="326">
        <f>T411*係数!$C$30*0.0000258</f>
        <v>0</v>
      </c>
      <c r="W411" s="282">
        <f t="shared" si="46"/>
        <v>0</v>
      </c>
      <c r="X411" s="337">
        <f t="shared" si="47"/>
        <v>0</v>
      </c>
      <c r="Y411" s="244">
        <f t="shared" si="48"/>
        <v>0</v>
      </c>
    </row>
    <row r="412" spans="2:25">
      <c r="B412" s="59" t="s">
        <v>691</v>
      </c>
      <c r="C412" s="10"/>
      <c r="D412" s="3"/>
      <c r="E412" s="483"/>
      <c r="F412" s="35"/>
      <c r="G412" s="35"/>
      <c r="H412" s="51" t="s">
        <v>341</v>
      </c>
      <c r="I412" s="3"/>
      <c r="J412" s="331">
        <f t="shared" si="49"/>
        <v>0</v>
      </c>
      <c r="K412" s="331">
        <f t="shared" si="43"/>
        <v>0</v>
      </c>
      <c r="L412" s="326">
        <f>K412*係数!$I$30</f>
        <v>0</v>
      </c>
      <c r="M412" s="326">
        <f>K412*係数!$C$30*0.0000258</f>
        <v>0</v>
      </c>
      <c r="N412" s="10"/>
      <c r="O412" s="3"/>
      <c r="P412" s="483"/>
      <c r="Q412" s="51" t="s">
        <v>341</v>
      </c>
      <c r="R412" s="3"/>
      <c r="S412" s="329">
        <f t="shared" si="44"/>
        <v>0</v>
      </c>
      <c r="T412" s="327">
        <f t="shared" si="45"/>
        <v>0</v>
      </c>
      <c r="U412" s="326">
        <f>T412*係数!$I$30</f>
        <v>0</v>
      </c>
      <c r="V412" s="326">
        <f>T412*係数!$C$30*0.0000258</f>
        <v>0</v>
      </c>
      <c r="W412" s="282">
        <f t="shared" si="46"/>
        <v>0</v>
      </c>
      <c r="X412" s="337">
        <f t="shared" si="47"/>
        <v>0</v>
      </c>
      <c r="Y412" s="244">
        <f t="shared" si="48"/>
        <v>0</v>
      </c>
    </row>
    <row r="413" spans="2:25">
      <c r="B413" s="59" t="s">
        <v>692</v>
      </c>
      <c r="C413" s="10"/>
      <c r="D413" s="3"/>
      <c r="E413" s="483"/>
      <c r="F413" s="35"/>
      <c r="G413" s="35"/>
      <c r="H413" s="51" t="s">
        <v>341</v>
      </c>
      <c r="I413" s="3"/>
      <c r="J413" s="331">
        <f t="shared" si="49"/>
        <v>0</v>
      </c>
      <c r="K413" s="331">
        <f t="shared" si="43"/>
        <v>0</v>
      </c>
      <c r="L413" s="326">
        <f>K413*係数!$I$30</f>
        <v>0</v>
      </c>
      <c r="M413" s="326">
        <f>K413*係数!$C$30*0.0000258</f>
        <v>0</v>
      </c>
      <c r="N413" s="10"/>
      <c r="O413" s="3"/>
      <c r="P413" s="483"/>
      <c r="Q413" s="51" t="s">
        <v>341</v>
      </c>
      <c r="R413" s="3"/>
      <c r="S413" s="329">
        <f t="shared" si="44"/>
        <v>0</v>
      </c>
      <c r="T413" s="327">
        <f t="shared" si="45"/>
        <v>0</v>
      </c>
      <c r="U413" s="326">
        <f>T413*係数!$I$30</f>
        <v>0</v>
      </c>
      <c r="V413" s="326">
        <f>T413*係数!$C$30*0.0000258</f>
        <v>0</v>
      </c>
      <c r="W413" s="282">
        <f t="shared" si="46"/>
        <v>0</v>
      </c>
      <c r="X413" s="337">
        <f t="shared" si="47"/>
        <v>0</v>
      </c>
      <c r="Y413" s="244">
        <f t="shared" si="48"/>
        <v>0</v>
      </c>
    </row>
    <row r="414" spans="2:25">
      <c r="B414" s="59" t="s">
        <v>693</v>
      </c>
      <c r="C414" s="10"/>
      <c r="D414" s="3"/>
      <c r="E414" s="483"/>
      <c r="F414" s="35"/>
      <c r="G414" s="35"/>
      <c r="H414" s="51" t="s">
        <v>341</v>
      </c>
      <c r="I414" s="3"/>
      <c r="J414" s="331">
        <f t="shared" si="49"/>
        <v>0</v>
      </c>
      <c r="K414" s="331">
        <f t="shared" si="43"/>
        <v>0</v>
      </c>
      <c r="L414" s="326">
        <f>K414*係数!$I$30</f>
        <v>0</v>
      </c>
      <c r="M414" s="326">
        <f>K414*係数!$C$30*0.0000258</f>
        <v>0</v>
      </c>
      <c r="N414" s="10"/>
      <c r="O414" s="3"/>
      <c r="P414" s="483"/>
      <c r="Q414" s="51" t="s">
        <v>341</v>
      </c>
      <c r="R414" s="3"/>
      <c r="S414" s="329">
        <f t="shared" si="44"/>
        <v>0</v>
      </c>
      <c r="T414" s="327">
        <f t="shared" si="45"/>
        <v>0</v>
      </c>
      <c r="U414" s="326">
        <f>T414*係数!$I$30</f>
        <v>0</v>
      </c>
      <c r="V414" s="326">
        <f>T414*係数!$C$30*0.0000258</f>
        <v>0</v>
      </c>
      <c r="W414" s="282">
        <f t="shared" si="46"/>
        <v>0</v>
      </c>
      <c r="X414" s="337">
        <f t="shared" si="47"/>
        <v>0</v>
      </c>
      <c r="Y414" s="244">
        <f t="shared" si="48"/>
        <v>0</v>
      </c>
    </row>
    <row r="415" spans="2:25">
      <c r="B415" s="59" t="s">
        <v>694</v>
      </c>
      <c r="C415" s="10"/>
      <c r="D415" s="3"/>
      <c r="E415" s="483"/>
      <c r="F415" s="35"/>
      <c r="G415" s="35"/>
      <c r="H415" s="51" t="s">
        <v>341</v>
      </c>
      <c r="I415" s="3"/>
      <c r="J415" s="331">
        <f t="shared" si="49"/>
        <v>0</v>
      </c>
      <c r="K415" s="331">
        <f t="shared" si="43"/>
        <v>0</v>
      </c>
      <c r="L415" s="326">
        <f>K415*係数!$I$30</f>
        <v>0</v>
      </c>
      <c r="M415" s="326">
        <f>K415*係数!$C$30*0.0000258</f>
        <v>0</v>
      </c>
      <c r="N415" s="10"/>
      <c r="O415" s="3"/>
      <c r="P415" s="483"/>
      <c r="Q415" s="51" t="s">
        <v>341</v>
      </c>
      <c r="R415" s="3"/>
      <c r="S415" s="329">
        <f t="shared" si="44"/>
        <v>0</v>
      </c>
      <c r="T415" s="327">
        <f t="shared" si="45"/>
        <v>0</v>
      </c>
      <c r="U415" s="326">
        <f>T415*係数!$I$30</f>
        <v>0</v>
      </c>
      <c r="V415" s="326">
        <f>T415*係数!$C$30*0.0000258</f>
        <v>0</v>
      </c>
      <c r="W415" s="282">
        <f t="shared" si="46"/>
        <v>0</v>
      </c>
      <c r="X415" s="337">
        <f t="shared" si="47"/>
        <v>0</v>
      </c>
      <c r="Y415" s="244">
        <f t="shared" si="48"/>
        <v>0</v>
      </c>
    </row>
    <row r="416" spans="2:25">
      <c r="B416" s="59" t="s">
        <v>695</v>
      </c>
      <c r="C416" s="10"/>
      <c r="D416" s="3"/>
      <c r="E416" s="483"/>
      <c r="F416" s="35"/>
      <c r="G416" s="35"/>
      <c r="H416" s="51" t="s">
        <v>341</v>
      </c>
      <c r="I416" s="3"/>
      <c r="J416" s="331">
        <f t="shared" si="49"/>
        <v>0</v>
      </c>
      <c r="K416" s="331">
        <f t="shared" si="43"/>
        <v>0</v>
      </c>
      <c r="L416" s="326">
        <f>K416*係数!$I$30</f>
        <v>0</v>
      </c>
      <c r="M416" s="326">
        <f>K416*係数!$C$30*0.0000258</f>
        <v>0</v>
      </c>
      <c r="N416" s="10"/>
      <c r="O416" s="3"/>
      <c r="P416" s="483"/>
      <c r="Q416" s="51" t="s">
        <v>341</v>
      </c>
      <c r="R416" s="3"/>
      <c r="S416" s="329">
        <f t="shared" si="44"/>
        <v>0</v>
      </c>
      <c r="T416" s="327">
        <f t="shared" si="45"/>
        <v>0</v>
      </c>
      <c r="U416" s="326">
        <f>T416*係数!$I$30</f>
        <v>0</v>
      </c>
      <c r="V416" s="326">
        <f>T416*係数!$C$30*0.0000258</f>
        <v>0</v>
      </c>
      <c r="W416" s="282">
        <f t="shared" si="46"/>
        <v>0</v>
      </c>
      <c r="X416" s="337">
        <f t="shared" si="47"/>
        <v>0</v>
      </c>
      <c r="Y416" s="244">
        <f t="shared" si="48"/>
        <v>0</v>
      </c>
    </row>
    <row r="417" spans="2:25">
      <c r="B417" s="59" t="s">
        <v>696</v>
      </c>
      <c r="C417" s="10"/>
      <c r="D417" s="3"/>
      <c r="E417" s="483"/>
      <c r="F417" s="35"/>
      <c r="G417" s="35"/>
      <c r="H417" s="51" t="s">
        <v>341</v>
      </c>
      <c r="I417" s="3"/>
      <c r="J417" s="331">
        <f t="shared" si="49"/>
        <v>0</v>
      </c>
      <c r="K417" s="331">
        <f t="shared" si="43"/>
        <v>0</v>
      </c>
      <c r="L417" s="326">
        <f>K417*係数!$I$30</f>
        <v>0</v>
      </c>
      <c r="M417" s="326">
        <f>K417*係数!$C$30*0.0000258</f>
        <v>0</v>
      </c>
      <c r="N417" s="10"/>
      <c r="O417" s="3"/>
      <c r="P417" s="483"/>
      <c r="Q417" s="51" t="s">
        <v>341</v>
      </c>
      <c r="R417" s="3"/>
      <c r="S417" s="329">
        <f t="shared" si="44"/>
        <v>0</v>
      </c>
      <c r="T417" s="327">
        <f t="shared" si="45"/>
        <v>0</v>
      </c>
      <c r="U417" s="326">
        <f>T417*係数!$I$30</f>
        <v>0</v>
      </c>
      <c r="V417" s="326">
        <f>T417*係数!$C$30*0.0000258</f>
        <v>0</v>
      </c>
      <c r="W417" s="282">
        <f t="shared" si="46"/>
        <v>0</v>
      </c>
      <c r="X417" s="337">
        <f t="shared" si="47"/>
        <v>0</v>
      </c>
      <c r="Y417" s="244">
        <f t="shared" si="48"/>
        <v>0</v>
      </c>
    </row>
    <row r="418" spans="2:25">
      <c r="B418" s="59" t="s">
        <v>697</v>
      </c>
      <c r="C418" s="10"/>
      <c r="D418" s="3"/>
      <c r="E418" s="483"/>
      <c r="F418" s="35"/>
      <c r="G418" s="35"/>
      <c r="H418" s="51" t="s">
        <v>341</v>
      </c>
      <c r="I418" s="3"/>
      <c r="J418" s="331">
        <f t="shared" si="49"/>
        <v>0</v>
      </c>
      <c r="K418" s="331">
        <f t="shared" si="43"/>
        <v>0</v>
      </c>
      <c r="L418" s="326">
        <f>K418*係数!$I$30</f>
        <v>0</v>
      </c>
      <c r="M418" s="326">
        <f>K418*係数!$C$30*0.0000258</f>
        <v>0</v>
      </c>
      <c r="N418" s="10"/>
      <c r="O418" s="3"/>
      <c r="P418" s="483"/>
      <c r="Q418" s="51" t="s">
        <v>341</v>
      </c>
      <c r="R418" s="3"/>
      <c r="S418" s="329">
        <f t="shared" si="44"/>
        <v>0</v>
      </c>
      <c r="T418" s="327">
        <f t="shared" si="45"/>
        <v>0</v>
      </c>
      <c r="U418" s="326">
        <f>T418*係数!$I$30</f>
        <v>0</v>
      </c>
      <c r="V418" s="326">
        <f>T418*係数!$C$30*0.0000258</f>
        <v>0</v>
      </c>
      <c r="W418" s="282">
        <f t="shared" si="46"/>
        <v>0</v>
      </c>
      <c r="X418" s="337">
        <f t="shared" si="47"/>
        <v>0</v>
      </c>
      <c r="Y418" s="244">
        <f t="shared" si="48"/>
        <v>0</v>
      </c>
    </row>
    <row r="419" spans="2:25">
      <c r="B419" s="59" t="s">
        <v>698</v>
      </c>
      <c r="C419" s="10"/>
      <c r="D419" s="3"/>
      <c r="E419" s="483"/>
      <c r="F419" s="35"/>
      <c r="G419" s="35"/>
      <c r="H419" s="51" t="s">
        <v>341</v>
      </c>
      <c r="I419" s="3"/>
      <c r="J419" s="331">
        <f t="shared" si="49"/>
        <v>0</v>
      </c>
      <c r="K419" s="331">
        <f t="shared" si="43"/>
        <v>0</v>
      </c>
      <c r="L419" s="326">
        <f>K419*係数!$I$30</f>
        <v>0</v>
      </c>
      <c r="M419" s="326">
        <f>K419*係数!$C$30*0.0000258</f>
        <v>0</v>
      </c>
      <c r="N419" s="10"/>
      <c r="O419" s="3"/>
      <c r="P419" s="483"/>
      <c r="Q419" s="51" t="s">
        <v>341</v>
      </c>
      <c r="R419" s="3"/>
      <c r="S419" s="329">
        <f t="shared" si="44"/>
        <v>0</v>
      </c>
      <c r="T419" s="327">
        <f t="shared" si="45"/>
        <v>0</v>
      </c>
      <c r="U419" s="326">
        <f>T419*係数!$I$30</f>
        <v>0</v>
      </c>
      <c r="V419" s="326">
        <f>T419*係数!$C$30*0.0000258</f>
        <v>0</v>
      </c>
      <c r="W419" s="282">
        <f t="shared" si="46"/>
        <v>0</v>
      </c>
      <c r="X419" s="337">
        <f t="shared" si="47"/>
        <v>0</v>
      </c>
      <c r="Y419" s="244">
        <f t="shared" si="48"/>
        <v>0</v>
      </c>
    </row>
    <row r="420" spans="2:25">
      <c r="B420" s="59" t="s">
        <v>699</v>
      </c>
      <c r="C420" s="10"/>
      <c r="D420" s="3"/>
      <c r="E420" s="483"/>
      <c r="F420" s="35"/>
      <c r="G420" s="35"/>
      <c r="H420" s="51" t="s">
        <v>341</v>
      </c>
      <c r="I420" s="3"/>
      <c r="J420" s="331">
        <f t="shared" si="49"/>
        <v>0</v>
      </c>
      <c r="K420" s="331">
        <f t="shared" si="43"/>
        <v>0</v>
      </c>
      <c r="L420" s="326">
        <f>K420*係数!$I$30</f>
        <v>0</v>
      </c>
      <c r="M420" s="326">
        <f>K420*係数!$C$30*0.0000258</f>
        <v>0</v>
      </c>
      <c r="N420" s="10"/>
      <c r="O420" s="3"/>
      <c r="P420" s="483"/>
      <c r="Q420" s="51" t="s">
        <v>341</v>
      </c>
      <c r="R420" s="3"/>
      <c r="S420" s="329">
        <f t="shared" si="44"/>
        <v>0</v>
      </c>
      <c r="T420" s="327">
        <f t="shared" si="45"/>
        <v>0</v>
      </c>
      <c r="U420" s="326">
        <f>T420*係数!$I$30</f>
        <v>0</v>
      </c>
      <c r="V420" s="326">
        <f>T420*係数!$C$30*0.0000258</f>
        <v>0</v>
      </c>
      <c r="W420" s="282">
        <f t="shared" si="46"/>
        <v>0</v>
      </c>
      <c r="X420" s="337">
        <f t="shared" si="47"/>
        <v>0</v>
      </c>
      <c r="Y420" s="244">
        <f t="shared" si="48"/>
        <v>0</v>
      </c>
    </row>
    <row r="421" spans="2:25">
      <c r="B421" s="59" t="s">
        <v>709</v>
      </c>
      <c r="C421" s="10"/>
      <c r="D421" s="3"/>
      <c r="E421" s="483"/>
      <c r="F421" s="35"/>
      <c r="G421" s="35"/>
      <c r="H421" s="51" t="s">
        <v>341</v>
      </c>
      <c r="I421" s="3"/>
      <c r="J421" s="331">
        <f t="shared" si="49"/>
        <v>0</v>
      </c>
      <c r="K421" s="331">
        <f t="shared" si="43"/>
        <v>0</v>
      </c>
      <c r="L421" s="326">
        <f>K421*係数!$I$30</f>
        <v>0</v>
      </c>
      <c r="M421" s="326">
        <f>K421*係数!$C$30*0.0000258</f>
        <v>0</v>
      </c>
      <c r="N421" s="10"/>
      <c r="O421" s="3"/>
      <c r="P421" s="483"/>
      <c r="Q421" s="51" t="s">
        <v>341</v>
      </c>
      <c r="R421" s="3"/>
      <c r="S421" s="329">
        <f t="shared" si="44"/>
        <v>0</v>
      </c>
      <c r="T421" s="327">
        <f t="shared" si="45"/>
        <v>0</v>
      </c>
      <c r="U421" s="326">
        <f>T421*係数!$I$30</f>
        <v>0</v>
      </c>
      <c r="V421" s="326">
        <f>T421*係数!$C$30*0.0000258</f>
        <v>0</v>
      </c>
      <c r="W421" s="282">
        <f t="shared" si="46"/>
        <v>0</v>
      </c>
      <c r="X421" s="337">
        <f t="shared" si="47"/>
        <v>0</v>
      </c>
      <c r="Y421" s="244">
        <f t="shared" si="48"/>
        <v>0</v>
      </c>
    </row>
    <row r="422" spans="2:25">
      <c r="B422" s="59" t="s">
        <v>710</v>
      </c>
      <c r="C422" s="10"/>
      <c r="D422" s="3"/>
      <c r="E422" s="483"/>
      <c r="F422" s="35"/>
      <c r="G422" s="35"/>
      <c r="H422" s="51" t="s">
        <v>341</v>
      </c>
      <c r="I422" s="3"/>
      <c r="J422" s="331">
        <f t="shared" si="49"/>
        <v>0</v>
      </c>
      <c r="K422" s="331">
        <f t="shared" si="43"/>
        <v>0</v>
      </c>
      <c r="L422" s="326">
        <f>K422*係数!$I$30</f>
        <v>0</v>
      </c>
      <c r="M422" s="326">
        <f>K422*係数!$C$30*0.0000258</f>
        <v>0</v>
      </c>
      <c r="N422" s="10"/>
      <c r="O422" s="3"/>
      <c r="P422" s="483"/>
      <c r="Q422" s="51" t="s">
        <v>341</v>
      </c>
      <c r="R422" s="3"/>
      <c r="S422" s="329">
        <f t="shared" si="44"/>
        <v>0</v>
      </c>
      <c r="T422" s="327">
        <f t="shared" si="45"/>
        <v>0</v>
      </c>
      <c r="U422" s="326">
        <f>T422*係数!$I$30</f>
        <v>0</v>
      </c>
      <c r="V422" s="326">
        <f>T422*係数!$C$30*0.0000258</f>
        <v>0</v>
      </c>
      <c r="W422" s="282">
        <f t="shared" si="46"/>
        <v>0</v>
      </c>
      <c r="X422" s="337">
        <f t="shared" si="47"/>
        <v>0</v>
      </c>
      <c r="Y422" s="244">
        <f t="shared" si="48"/>
        <v>0</v>
      </c>
    </row>
    <row r="423" spans="2:25">
      <c r="B423" s="59" t="s">
        <v>711</v>
      </c>
      <c r="C423" s="10"/>
      <c r="D423" s="3"/>
      <c r="E423" s="483"/>
      <c r="F423" s="35"/>
      <c r="G423" s="35"/>
      <c r="H423" s="51" t="s">
        <v>341</v>
      </c>
      <c r="I423" s="3"/>
      <c r="J423" s="331">
        <f t="shared" si="49"/>
        <v>0</v>
      </c>
      <c r="K423" s="331">
        <f t="shared" si="43"/>
        <v>0</v>
      </c>
      <c r="L423" s="326">
        <f>K423*係数!$I$30</f>
        <v>0</v>
      </c>
      <c r="M423" s="326">
        <f>K423*係数!$C$30*0.0000258</f>
        <v>0</v>
      </c>
      <c r="N423" s="10"/>
      <c r="O423" s="3"/>
      <c r="P423" s="483"/>
      <c r="Q423" s="51" t="s">
        <v>341</v>
      </c>
      <c r="R423" s="3"/>
      <c r="S423" s="329">
        <f t="shared" si="44"/>
        <v>0</v>
      </c>
      <c r="T423" s="327">
        <f t="shared" si="45"/>
        <v>0</v>
      </c>
      <c r="U423" s="326">
        <f>T423*係数!$I$30</f>
        <v>0</v>
      </c>
      <c r="V423" s="326">
        <f>T423*係数!$C$30*0.0000258</f>
        <v>0</v>
      </c>
      <c r="W423" s="282">
        <f t="shared" si="46"/>
        <v>0</v>
      </c>
      <c r="X423" s="337">
        <f t="shared" si="47"/>
        <v>0</v>
      </c>
      <c r="Y423" s="244">
        <f t="shared" si="48"/>
        <v>0</v>
      </c>
    </row>
    <row r="424" spans="2:25">
      <c r="B424" s="59" t="s">
        <v>712</v>
      </c>
      <c r="C424" s="10"/>
      <c r="D424" s="3"/>
      <c r="E424" s="483"/>
      <c r="F424" s="35"/>
      <c r="G424" s="35"/>
      <c r="H424" s="51" t="s">
        <v>341</v>
      </c>
      <c r="I424" s="3"/>
      <c r="J424" s="331">
        <f t="shared" si="49"/>
        <v>0</v>
      </c>
      <c r="K424" s="331">
        <f t="shared" si="43"/>
        <v>0</v>
      </c>
      <c r="L424" s="326">
        <f>K424*係数!$I$30</f>
        <v>0</v>
      </c>
      <c r="M424" s="326">
        <f>K424*係数!$C$30*0.0000258</f>
        <v>0</v>
      </c>
      <c r="N424" s="10"/>
      <c r="O424" s="3"/>
      <c r="P424" s="483"/>
      <c r="Q424" s="51" t="s">
        <v>341</v>
      </c>
      <c r="R424" s="3"/>
      <c r="S424" s="329">
        <f t="shared" si="44"/>
        <v>0</v>
      </c>
      <c r="T424" s="327">
        <f t="shared" si="45"/>
        <v>0</v>
      </c>
      <c r="U424" s="326">
        <f>T424*係数!$I$30</f>
        <v>0</v>
      </c>
      <c r="V424" s="326">
        <f>T424*係数!$C$30*0.0000258</f>
        <v>0</v>
      </c>
      <c r="W424" s="282">
        <f t="shared" si="46"/>
        <v>0</v>
      </c>
      <c r="X424" s="337">
        <f t="shared" si="47"/>
        <v>0</v>
      </c>
      <c r="Y424" s="244">
        <f t="shared" si="48"/>
        <v>0</v>
      </c>
    </row>
    <row r="425" spans="2:25">
      <c r="B425" s="59" t="s">
        <v>713</v>
      </c>
      <c r="C425" s="10"/>
      <c r="D425" s="3"/>
      <c r="E425" s="483"/>
      <c r="F425" s="35"/>
      <c r="G425" s="35"/>
      <c r="H425" s="51" t="s">
        <v>341</v>
      </c>
      <c r="I425" s="3"/>
      <c r="J425" s="331">
        <f t="shared" si="49"/>
        <v>0</v>
      </c>
      <c r="K425" s="331">
        <f t="shared" si="43"/>
        <v>0</v>
      </c>
      <c r="L425" s="326">
        <f>K425*係数!$I$30</f>
        <v>0</v>
      </c>
      <c r="M425" s="326">
        <f>K425*係数!$C$30*0.0000258</f>
        <v>0</v>
      </c>
      <c r="N425" s="10"/>
      <c r="O425" s="3"/>
      <c r="P425" s="483"/>
      <c r="Q425" s="51" t="s">
        <v>341</v>
      </c>
      <c r="R425" s="3"/>
      <c r="S425" s="329">
        <f t="shared" si="44"/>
        <v>0</v>
      </c>
      <c r="T425" s="327">
        <f t="shared" si="45"/>
        <v>0</v>
      </c>
      <c r="U425" s="326">
        <f>T425*係数!$I$30</f>
        <v>0</v>
      </c>
      <c r="V425" s="326">
        <f>T425*係数!$C$30*0.0000258</f>
        <v>0</v>
      </c>
      <c r="W425" s="282">
        <f t="shared" si="46"/>
        <v>0</v>
      </c>
      <c r="X425" s="337">
        <f t="shared" si="47"/>
        <v>0</v>
      </c>
      <c r="Y425" s="244">
        <f t="shared" si="48"/>
        <v>0</v>
      </c>
    </row>
    <row r="426" spans="2:25">
      <c r="B426" s="59" t="s">
        <v>714</v>
      </c>
      <c r="C426" s="10"/>
      <c r="D426" s="3"/>
      <c r="E426" s="483"/>
      <c r="F426" s="35"/>
      <c r="G426" s="35"/>
      <c r="H426" s="51" t="s">
        <v>341</v>
      </c>
      <c r="I426" s="3"/>
      <c r="J426" s="331">
        <f t="shared" si="49"/>
        <v>0</v>
      </c>
      <c r="K426" s="331">
        <f t="shared" si="43"/>
        <v>0</v>
      </c>
      <c r="L426" s="326">
        <f>K426*係数!$I$30</f>
        <v>0</v>
      </c>
      <c r="M426" s="326">
        <f>K426*係数!$C$30*0.0000258</f>
        <v>0</v>
      </c>
      <c r="N426" s="10"/>
      <c r="O426" s="3"/>
      <c r="P426" s="483"/>
      <c r="Q426" s="51" t="s">
        <v>341</v>
      </c>
      <c r="R426" s="3"/>
      <c r="S426" s="329">
        <f t="shared" si="44"/>
        <v>0</v>
      </c>
      <c r="T426" s="327">
        <f t="shared" si="45"/>
        <v>0</v>
      </c>
      <c r="U426" s="326">
        <f>T426*係数!$I$30</f>
        <v>0</v>
      </c>
      <c r="V426" s="326">
        <f>T426*係数!$C$30*0.0000258</f>
        <v>0</v>
      </c>
      <c r="W426" s="282">
        <f t="shared" si="46"/>
        <v>0</v>
      </c>
      <c r="X426" s="337">
        <f t="shared" si="47"/>
        <v>0</v>
      </c>
      <c r="Y426" s="244">
        <f t="shared" si="48"/>
        <v>0</v>
      </c>
    </row>
    <row r="427" spans="2:25">
      <c r="B427" s="59" t="s">
        <v>715</v>
      </c>
      <c r="C427" s="10"/>
      <c r="D427" s="3"/>
      <c r="E427" s="483"/>
      <c r="F427" s="35"/>
      <c r="G427" s="35"/>
      <c r="H427" s="51" t="s">
        <v>341</v>
      </c>
      <c r="I427" s="3"/>
      <c r="J427" s="331">
        <f t="shared" si="49"/>
        <v>0</v>
      </c>
      <c r="K427" s="331">
        <f t="shared" si="43"/>
        <v>0</v>
      </c>
      <c r="L427" s="326">
        <f>K427*係数!$I$30</f>
        <v>0</v>
      </c>
      <c r="M427" s="326">
        <f>K427*係数!$C$30*0.0000258</f>
        <v>0</v>
      </c>
      <c r="N427" s="10"/>
      <c r="O427" s="3"/>
      <c r="P427" s="483"/>
      <c r="Q427" s="51" t="s">
        <v>341</v>
      </c>
      <c r="R427" s="3"/>
      <c r="S427" s="329">
        <f t="shared" si="44"/>
        <v>0</v>
      </c>
      <c r="T427" s="327">
        <f t="shared" si="45"/>
        <v>0</v>
      </c>
      <c r="U427" s="326">
        <f>T427*係数!$I$30</f>
        <v>0</v>
      </c>
      <c r="V427" s="326">
        <f>T427*係数!$C$30*0.0000258</f>
        <v>0</v>
      </c>
      <c r="W427" s="282">
        <f t="shared" si="46"/>
        <v>0</v>
      </c>
      <c r="X427" s="337">
        <f t="shared" si="47"/>
        <v>0</v>
      </c>
      <c r="Y427" s="244">
        <f t="shared" si="48"/>
        <v>0</v>
      </c>
    </row>
    <row r="428" spans="2:25">
      <c r="B428" s="59" t="s">
        <v>716</v>
      </c>
      <c r="C428" s="10"/>
      <c r="D428" s="3"/>
      <c r="E428" s="483"/>
      <c r="F428" s="35"/>
      <c r="G428" s="35"/>
      <c r="H428" s="51" t="s">
        <v>341</v>
      </c>
      <c r="I428" s="3"/>
      <c r="J428" s="331">
        <f t="shared" si="49"/>
        <v>0</v>
      </c>
      <c r="K428" s="331">
        <f t="shared" si="43"/>
        <v>0</v>
      </c>
      <c r="L428" s="326">
        <f>K428*係数!$I$30</f>
        <v>0</v>
      </c>
      <c r="M428" s="326">
        <f>K428*係数!$C$30*0.0000258</f>
        <v>0</v>
      </c>
      <c r="N428" s="10"/>
      <c r="O428" s="3"/>
      <c r="P428" s="483"/>
      <c r="Q428" s="51" t="s">
        <v>341</v>
      </c>
      <c r="R428" s="3"/>
      <c r="S428" s="329">
        <f t="shared" si="44"/>
        <v>0</v>
      </c>
      <c r="T428" s="327">
        <f t="shared" si="45"/>
        <v>0</v>
      </c>
      <c r="U428" s="326">
        <f>T428*係数!$I$30</f>
        <v>0</v>
      </c>
      <c r="V428" s="326">
        <f>T428*係数!$C$30*0.0000258</f>
        <v>0</v>
      </c>
      <c r="W428" s="282">
        <f t="shared" si="46"/>
        <v>0</v>
      </c>
      <c r="X428" s="337">
        <f t="shared" si="47"/>
        <v>0</v>
      </c>
      <c r="Y428" s="244">
        <f t="shared" si="48"/>
        <v>0</v>
      </c>
    </row>
    <row r="429" spans="2:25">
      <c r="B429" s="59" t="s">
        <v>717</v>
      </c>
      <c r="C429" s="10"/>
      <c r="D429" s="3"/>
      <c r="E429" s="483"/>
      <c r="F429" s="35"/>
      <c r="G429" s="35"/>
      <c r="H429" s="51" t="s">
        <v>341</v>
      </c>
      <c r="I429" s="3"/>
      <c r="J429" s="331">
        <f t="shared" si="49"/>
        <v>0</v>
      </c>
      <c r="K429" s="331">
        <f t="shared" si="43"/>
        <v>0</v>
      </c>
      <c r="L429" s="326">
        <f>K429*係数!$I$30</f>
        <v>0</v>
      </c>
      <c r="M429" s="326">
        <f>K429*係数!$C$30*0.0000258</f>
        <v>0</v>
      </c>
      <c r="N429" s="10"/>
      <c r="O429" s="3"/>
      <c r="P429" s="483"/>
      <c r="Q429" s="51" t="s">
        <v>341</v>
      </c>
      <c r="R429" s="3"/>
      <c r="S429" s="329">
        <f t="shared" si="44"/>
        <v>0</v>
      </c>
      <c r="T429" s="327">
        <f t="shared" si="45"/>
        <v>0</v>
      </c>
      <c r="U429" s="326">
        <f>T429*係数!$I$30</f>
        <v>0</v>
      </c>
      <c r="V429" s="326">
        <f>T429*係数!$C$30*0.0000258</f>
        <v>0</v>
      </c>
      <c r="W429" s="282">
        <f t="shared" si="46"/>
        <v>0</v>
      </c>
      <c r="X429" s="337">
        <f t="shared" si="47"/>
        <v>0</v>
      </c>
      <c r="Y429" s="244">
        <f t="shared" si="48"/>
        <v>0</v>
      </c>
    </row>
    <row r="430" spans="2:25">
      <c r="B430" s="59" t="s">
        <v>718</v>
      </c>
      <c r="C430" s="10"/>
      <c r="D430" s="3"/>
      <c r="E430" s="483"/>
      <c r="F430" s="35"/>
      <c r="G430" s="35"/>
      <c r="H430" s="51" t="s">
        <v>341</v>
      </c>
      <c r="I430" s="3"/>
      <c r="J430" s="331">
        <f t="shared" si="49"/>
        <v>0</v>
      </c>
      <c r="K430" s="331">
        <f t="shared" si="43"/>
        <v>0</v>
      </c>
      <c r="L430" s="326">
        <f>K430*係数!$I$30</f>
        <v>0</v>
      </c>
      <c r="M430" s="326">
        <f>K430*係数!$C$30*0.0000258</f>
        <v>0</v>
      </c>
      <c r="N430" s="10"/>
      <c r="O430" s="3"/>
      <c r="P430" s="483"/>
      <c r="Q430" s="51" t="s">
        <v>341</v>
      </c>
      <c r="R430" s="3"/>
      <c r="S430" s="329">
        <f t="shared" si="44"/>
        <v>0</v>
      </c>
      <c r="T430" s="327">
        <f t="shared" si="45"/>
        <v>0</v>
      </c>
      <c r="U430" s="326">
        <f>T430*係数!$I$30</f>
        <v>0</v>
      </c>
      <c r="V430" s="326">
        <f>T430*係数!$C$30*0.0000258</f>
        <v>0</v>
      </c>
      <c r="W430" s="282">
        <f t="shared" si="46"/>
        <v>0</v>
      </c>
      <c r="X430" s="337">
        <f t="shared" si="47"/>
        <v>0</v>
      </c>
      <c r="Y430" s="244">
        <f t="shared" si="48"/>
        <v>0</v>
      </c>
    </row>
    <row r="431" spans="2:25">
      <c r="B431" s="59" t="s">
        <v>719</v>
      </c>
      <c r="C431" s="10"/>
      <c r="D431" s="3"/>
      <c r="E431" s="483"/>
      <c r="F431" s="35"/>
      <c r="G431" s="35"/>
      <c r="H431" s="51" t="s">
        <v>341</v>
      </c>
      <c r="I431" s="3"/>
      <c r="J431" s="331">
        <f t="shared" si="49"/>
        <v>0</v>
      </c>
      <c r="K431" s="331">
        <f t="shared" si="43"/>
        <v>0</v>
      </c>
      <c r="L431" s="326">
        <f>K431*係数!$I$30</f>
        <v>0</v>
      </c>
      <c r="M431" s="326">
        <f>K431*係数!$C$30*0.0000258</f>
        <v>0</v>
      </c>
      <c r="N431" s="10"/>
      <c r="O431" s="3"/>
      <c r="P431" s="483"/>
      <c r="Q431" s="51" t="s">
        <v>341</v>
      </c>
      <c r="R431" s="3"/>
      <c r="S431" s="329">
        <f t="shared" si="44"/>
        <v>0</v>
      </c>
      <c r="T431" s="327">
        <f t="shared" si="45"/>
        <v>0</v>
      </c>
      <c r="U431" s="326">
        <f>T431*係数!$I$30</f>
        <v>0</v>
      </c>
      <c r="V431" s="326">
        <f>T431*係数!$C$30*0.0000258</f>
        <v>0</v>
      </c>
      <c r="W431" s="282">
        <f t="shared" si="46"/>
        <v>0</v>
      </c>
      <c r="X431" s="337">
        <f t="shared" si="47"/>
        <v>0</v>
      </c>
      <c r="Y431" s="244">
        <f t="shared" si="48"/>
        <v>0</v>
      </c>
    </row>
    <row r="432" spans="2:25">
      <c r="B432" s="59" t="s">
        <v>720</v>
      </c>
      <c r="C432" s="10"/>
      <c r="D432" s="3"/>
      <c r="E432" s="483"/>
      <c r="F432" s="35"/>
      <c r="G432" s="35"/>
      <c r="H432" s="51" t="s">
        <v>341</v>
      </c>
      <c r="I432" s="3"/>
      <c r="J432" s="331">
        <f t="shared" si="49"/>
        <v>0</v>
      </c>
      <c r="K432" s="331">
        <f t="shared" si="43"/>
        <v>0</v>
      </c>
      <c r="L432" s="326">
        <f>K432*係数!$I$30</f>
        <v>0</v>
      </c>
      <c r="M432" s="326">
        <f>K432*係数!$C$30*0.0000258</f>
        <v>0</v>
      </c>
      <c r="N432" s="10"/>
      <c r="O432" s="3"/>
      <c r="P432" s="483"/>
      <c r="Q432" s="51" t="s">
        <v>341</v>
      </c>
      <c r="R432" s="3"/>
      <c r="S432" s="329">
        <f t="shared" si="44"/>
        <v>0</v>
      </c>
      <c r="T432" s="327">
        <f t="shared" si="45"/>
        <v>0</v>
      </c>
      <c r="U432" s="326">
        <f>T432*係数!$I$30</f>
        <v>0</v>
      </c>
      <c r="V432" s="326">
        <f>T432*係数!$C$30*0.0000258</f>
        <v>0</v>
      </c>
      <c r="W432" s="282">
        <f t="shared" si="46"/>
        <v>0</v>
      </c>
      <c r="X432" s="337">
        <f t="shared" si="47"/>
        <v>0</v>
      </c>
      <c r="Y432" s="244">
        <f t="shared" si="48"/>
        <v>0</v>
      </c>
    </row>
    <row r="433" spans="2:25">
      <c r="B433" s="59" t="s">
        <v>721</v>
      </c>
      <c r="C433" s="10"/>
      <c r="D433" s="3"/>
      <c r="E433" s="483"/>
      <c r="F433" s="35"/>
      <c r="G433" s="35"/>
      <c r="H433" s="51" t="s">
        <v>341</v>
      </c>
      <c r="I433" s="3"/>
      <c r="J433" s="331">
        <f t="shared" si="49"/>
        <v>0</v>
      </c>
      <c r="K433" s="331">
        <f t="shared" si="43"/>
        <v>0</v>
      </c>
      <c r="L433" s="326">
        <f>K433*係数!$I$30</f>
        <v>0</v>
      </c>
      <c r="M433" s="326">
        <f>K433*係数!$C$30*0.0000258</f>
        <v>0</v>
      </c>
      <c r="N433" s="10"/>
      <c r="O433" s="3"/>
      <c r="P433" s="483"/>
      <c r="Q433" s="51" t="s">
        <v>341</v>
      </c>
      <c r="R433" s="3"/>
      <c r="S433" s="329">
        <f t="shared" si="44"/>
        <v>0</v>
      </c>
      <c r="T433" s="327">
        <f t="shared" si="45"/>
        <v>0</v>
      </c>
      <c r="U433" s="326">
        <f>T433*係数!$I$30</f>
        <v>0</v>
      </c>
      <c r="V433" s="326">
        <f>T433*係数!$C$30*0.0000258</f>
        <v>0</v>
      </c>
      <c r="W433" s="282">
        <f t="shared" si="46"/>
        <v>0</v>
      </c>
      <c r="X433" s="337">
        <f t="shared" si="47"/>
        <v>0</v>
      </c>
      <c r="Y433" s="244">
        <f t="shared" si="48"/>
        <v>0</v>
      </c>
    </row>
    <row r="434" spans="2:25">
      <c r="B434" s="59" t="s">
        <v>722</v>
      </c>
      <c r="C434" s="10"/>
      <c r="D434" s="3"/>
      <c r="E434" s="483"/>
      <c r="F434" s="35"/>
      <c r="G434" s="35"/>
      <c r="H434" s="51" t="s">
        <v>341</v>
      </c>
      <c r="I434" s="3"/>
      <c r="J434" s="331">
        <f t="shared" si="49"/>
        <v>0</v>
      </c>
      <c r="K434" s="331">
        <f t="shared" si="43"/>
        <v>0</v>
      </c>
      <c r="L434" s="326">
        <f>K434*係数!$I$30</f>
        <v>0</v>
      </c>
      <c r="M434" s="326">
        <f>K434*係数!$C$30*0.0000258</f>
        <v>0</v>
      </c>
      <c r="N434" s="10"/>
      <c r="O434" s="3"/>
      <c r="P434" s="483"/>
      <c r="Q434" s="51" t="s">
        <v>341</v>
      </c>
      <c r="R434" s="3"/>
      <c r="S434" s="329">
        <f t="shared" si="44"/>
        <v>0</v>
      </c>
      <c r="T434" s="327">
        <f t="shared" si="45"/>
        <v>0</v>
      </c>
      <c r="U434" s="326">
        <f>T434*係数!$I$30</f>
        <v>0</v>
      </c>
      <c r="V434" s="326">
        <f>T434*係数!$C$30*0.0000258</f>
        <v>0</v>
      </c>
      <c r="W434" s="282">
        <f t="shared" si="46"/>
        <v>0</v>
      </c>
      <c r="X434" s="337">
        <f t="shared" si="47"/>
        <v>0</v>
      </c>
      <c r="Y434" s="244">
        <f t="shared" si="48"/>
        <v>0</v>
      </c>
    </row>
    <row r="435" spans="2:25">
      <c r="B435" s="59" t="s">
        <v>723</v>
      </c>
      <c r="C435" s="10"/>
      <c r="D435" s="3"/>
      <c r="E435" s="483"/>
      <c r="F435" s="35"/>
      <c r="G435" s="35"/>
      <c r="H435" s="51" t="s">
        <v>341</v>
      </c>
      <c r="I435" s="3"/>
      <c r="J435" s="331">
        <f t="shared" si="49"/>
        <v>0</v>
      </c>
      <c r="K435" s="331">
        <f t="shared" si="43"/>
        <v>0</v>
      </c>
      <c r="L435" s="326">
        <f>K435*係数!$I$30</f>
        <v>0</v>
      </c>
      <c r="M435" s="326">
        <f>K435*係数!$C$30*0.0000258</f>
        <v>0</v>
      </c>
      <c r="N435" s="10"/>
      <c r="O435" s="3"/>
      <c r="P435" s="483"/>
      <c r="Q435" s="51" t="s">
        <v>341</v>
      </c>
      <c r="R435" s="3"/>
      <c r="S435" s="329">
        <f t="shared" si="44"/>
        <v>0</v>
      </c>
      <c r="T435" s="327">
        <f t="shared" si="45"/>
        <v>0</v>
      </c>
      <c r="U435" s="326">
        <f>T435*係数!$I$30</f>
        <v>0</v>
      </c>
      <c r="V435" s="326">
        <f>T435*係数!$C$30*0.0000258</f>
        <v>0</v>
      </c>
      <c r="W435" s="282">
        <f t="shared" si="46"/>
        <v>0</v>
      </c>
      <c r="X435" s="337">
        <f t="shared" si="47"/>
        <v>0</v>
      </c>
      <c r="Y435" s="244">
        <f t="shared" si="48"/>
        <v>0</v>
      </c>
    </row>
    <row r="436" spans="2:25">
      <c r="B436" s="59" t="s">
        <v>724</v>
      </c>
      <c r="C436" s="10"/>
      <c r="D436" s="3"/>
      <c r="E436" s="483"/>
      <c r="F436" s="35"/>
      <c r="G436" s="35"/>
      <c r="H436" s="51" t="s">
        <v>341</v>
      </c>
      <c r="I436" s="3"/>
      <c r="J436" s="331">
        <f t="shared" si="49"/>
        <v>0</v>
      </c>
      <c r="K436" s="331">
        <f t="shared" si="43"/>
        <v>0</v>
      </c>
      <c r="L436" s="326">
        <f>K436*係数!$I$30</f>
        <v>0</v>
      </c>
      <c r="M436" s="326">
        <f>K436*係数!$C$30*0.0000258</f>
        <v>0</v>
      </c>
      <c r="N436" s="10"/>
      <c r="O436" s="3"/>
      <c r="P436" s="483"/>
      <c r="Q436" s="51" t="s">
        <v>341</v>
      </c>
      <c r="R436" s="3"/>
      <c r="S436" s="329">
        <f t="shared" si="44"/>
        <v>0</v>
      </c>
      <c r="T436" s="327">
        <f t="shared" si="45"/>
        <v>0</v>
      </c>
      <c r="U436" s="326">
        <f>T436*係数!$I$30</f>
        <v>0</v>
      </c>
      <c r="V436" s="326">
        <f>T436*係数!$C$30*0.0000258</f>
        <v>0</v>
      </c>
      <c r="W436" s="282">
        <f t="shared" si="46"/>
        <v>0</v>
      </c>
      <c r="X436" s="337">
        <f t="shared" si="47"/>
        <v>0</v>
      </c>
      <c r="Y436" s="244">
        <f t="shared" si="48"/>
        <v>0</v>
      </c>
    </row>
    <row r="437" spans="2:25">
      <c r="B437" s="59" t="s">
        <v>725</v>
      </c>
      <c r="C437" s="10"/>
      <c r="D437" s="3"/>
      <c r="E437" s="483"/>
      <c r="F437" s="35"/>
      <c r="G437" s="35"/>
      <c r="H437" s="51" t="s">
        <v>341</v>
      </c>
      <c r="I437" s="3"/>
      <c r="J437" s="331">
        <f t="shared" si="49"/>
        <v>0</v>
      </c>
      <c r="K437" s="331">
        <f t="shared" si="43"/>
        <v>0</v>
      </c>
      <c r="L437" s="326">
        <f>K437*係数!$I$30</f>
        <v>0</v>
      </c>
      <c r="M437" s="326">
        <f>K437*係数!$C$30*0.0000258</f>
        <v>0</v>
      </c>
      <c r="N437" s="10"/>
      <c r="O437" s="3"/>
      <c r="P437" s="483"/>
      <c r="Q437" s="51" t="s">
        <v>341</v>
      </c>
      <c r="R437" s="3"/>
      <c r="S437" s="329">
        <f t="shared" si="44"/>
        <v>0</v>
      </c>
      <c r="T437" s="327">
        <f t="shared" si="45"/>
        <v>0</v>
      </c>
      <c r="U437" s="326">
        <f>T437*係数!$I$30</f>
        <v>0</v>
      </c>
      <c r="V437" s="326">
        <f>T437*係数!$C$30*0.0000258</f>
        <v>0</v>
      </c>
      <c r="W437" s="282">
        <f t="shared" si="46"/>
        <v>0</v>
      </c>
      <c r="X437" s="337">
        <f t="shared" si="47"/>
        <v>0</v>
      </c>
      <c r="Y437" s="244">
        <f t="shared" si="48"/>
        <v>0</v>
      </c>
    </row>
    <row r="438" spans="2:25">
      <c r="B438" s="59" t="s">
        <v>726</v>
      </c>
      <c r="C438" s="10"/>
      <c r="D438" s="3"/>
      <c r="E438" s="483"/>
      <c r="F438" s="35"/>
      <c r="G438" s="35"/>
      <c r="H438" s="51" t="s">
        <v>341</v>
      </c>
      <c r="I438" s="3"/>
      <c r="J438" s="331">
        <f t="shared" si="49"/>
        <v>0</v>
      </c>
      <c r="K438" s="331">
        <f t="shared" si="43"/>
        <v>0</v>
      </c>
      <c r="L438" s="326">
        <f>K438*係数!$I$30</f>
        <v>0</v>
      </c>
      <c r="M438" s="326">
        <f>K438*係数!$C$30*0.0000258</f>
        <v>0</v>
      </c>
      <c r="N438" s="10"/>
      <c r="O438" s="3"/>
      <c r="P438" s="483"/>
      <c r="Q438" s="51" t="s">
        <v>341</v>
      </c>
      <c r="R438" s="3"/>
      <c r="S438" s="329">
        <f t="shared" si="44"/>
        <v>0</v>
      </c>
      <c r="T438" s="327">
        <f t="shared" si="45"/>
        <v>0</v>
      </c>
      <c r="U438" s="326">
        <f>T438*係数!$I$30</f>
        <v>0</v>
      </c>
      <c r="V438" s="326">
        <f>T438*係数!$C$30*0.0000258</f>
        <v>0</v>
      </c>
      <c r="W438" s="282">
        <f t="shared" si="46"/>
        <v>0</v>
      </c>
      <c r="X438" s="337">
        <f t="shared" si="47"/>
        <v>0</v>
      </c>
      <c r="Y438" s="244">
        <f t="shared" si="48"/>
        <v>0</v>
      </c>
    </row>
    <row r="439" spans="2:25">
      <c r="B439" s="59" t="s">
        <v>727</v>
      </c>
      <c r="C439" s="10"/>
      <c r="D439" s="3"/>
      <c r="E439" s="483"/>
      <c r="F439" s="35"/>
      <c r="G439" s="35"/>
      <c r="H439" s="51" t="s">
        <v>341</v>
      </c>
      <c r="I439" s="3"/>
      <c r="J439" s="331">
        <f t="shared" si="49"/>
        <v>0</v>
      </c>
      <c r="K439" s="331">
        <f t="shared" si="43"/>
        <v>0</v>
      </c>
      <c r="L439" s="326">
        <f>K439*係数!$I$30</f>
        <v>0</v>
      </c>
      <c r="M439" s="326">
        <f>K439*係数!$C$30*0.0000258</f>
        <v>0</v>
      </c>
      <c r="N439" s="10"/>
      <c r="O439" s="3"/>
      <c r="P439" s="483"/>
      <c r="Q439" s="51" t="s">
        <v>341</v>
      </c>
      <c r="R439" s="3"/>
      <c r="S439" s="329">
        <f t="shared" si="44"/>
        <v>0</v>
      </c>
      <c r="T439" s="327">
        <f t="shared" si="45"/>
        <v>0</v>
      </c>
      <c r="U439" s="326">
        <f>T439*係数!$I$30</f>
        <v>0</v>
      </c>
      <c r="V439" s="326">
        <f>T439*係数!$C$30*0.0000258</f>
        <v>0</v>
      </c>
      <c r="W439" s="282">
        <f t="shared" si="46"/>
        <v>0</v>
      </c>
      <c r="X439" s="337">
        <f t="shared" si="47"/>
        <v>0</v>
      </c>
      <c r="Y439" s="244">
        <f t="shared" si="48"/>
        <v>0</v>
      </c>
    </row>
    <row r="440" spans="2:25">
      <c r="B440" s="59" t="s">
        <v>728</v>
      </c>
      <c r="C440" s="10"/>
      <c r="D440" s="3"/>
      <c r="E440" s="483"/>
      <c r="F440" s="35"/>
      <c r="G440" s="35"/>
      <c r="H440" s="51" t="s">
        <v>341</v>
      </c>
      <c r="I440" s="3"/>
      <c r="J440" s="331">
        <f t="shared" si="49"/>
        <v>0</v>
      </c>
      <c r="K440" s="331">
        <f t="shared" si="43"/>
        <v>0</v>
      </c>
      <c r="L440" s="326">
        <f>K440*係数!$I$30</f>
        <v>0</v>
      </c>
      <c r="M440" s="326">
        <f>K440*係数!$C$30*0.0000258</f>
        <v>0</v>
      </c>
      <c r="N440" s="10"/>
      <c r="O440" s="3"/>
      <c r="P440" s="483"/>
      <c r="Q440" s="51" t="s">
        <v>341</v>
      </c>
      <c r="R440" s="3"/>
      <c r="S440" s="329">
        <f t="shared" si="44"/>
        <v>0</v>
      </c>
      <c r="T440" s="327">
        <f t="shared" si="45"/>
        <v>0</v>
      </c>
      <c r="U440" s="326">
        <f>T440*係数!$I$30</f>
        <v>0</v>
      </c>
      <c r="V440" s="326">
        <f>T440*係数!$C$30*0.0000258</f>
        <v>0</v>
      </c>
      <c r="W440" s="282">
        <f t="shared" si="46"/>
        <v>0</v>
      </c>
      <c r="X440" s="337">
        <f t="shared" si="47"/>
        <v>0</v>
      </c>
      <c r="Y440" s="244">
        <f t="shared" si="48"/>
        <v>0</v>
      </c>
    </row>
    <row r="441" spans="2:25">
      <c r="B441" s="59" t="s">
        <v>729</v>
      </c>
      <c r="C441" s="10"/>
      <c r="D441" s="3"/>
      <c r="E441" s="483"/>
      <c r="F441" s="35"/>
      <c r="G441" s="35"/>
      <c r="H441" s="51" t="s">
        <v>341</v>
      </c>
      <c r="I441" s="3"/>
      <c r="J441" s="331">
        <f t="shared" si="49"/>
        <v>0</v>
      </c>
      <c r="K441" s="331">
        <f t="shared" si="43"/>
        <v>0</v>
      </c>
      <c r="L441" s="326">
        <f>K441*係数!$I$30</f>
        <v>0</v>
      </c>
      <c r="M441" s="326">
        <f>K441*係数!$C$30*0.0000258</f>
        <v>0</v>
      </c>
      <c r="N441" s="10"/>
      <c r="O441" s="3"/>
      <c r="P441" s="483"/>
      <c r="Q441" s="51" t="s">
        <v>341</v>
      </c>
      <c r="R441" s="3"/>
      <c r="S441" s="329">
        <f t="shared" si="44"/>
        <v>0</v>
      </c>
      <c r="T441" s="327">
        <f t="shared" si="45"/>
        <v>0</v>
      </c>
      <c r="U441" s="326">
        <f>T441*係数!$I$30</f>
        <v>0</v>
      </c>
      <c r="V441" s="326">
        <f>T441*係数!$C$30*0.0000258</f>
        <v>0</v>
      </c>
      <c r="W441" s="282">
        <f t="shared" si="46"/>
        <v>0</v>
      </c>
      <c r="X441" s="337">
        <f t="shared" si="47"/>
        <v>0</v>
      </c>
      <c r="Y441" s="244">
        <f t="shared" si="48"/>
        <v>0</v>
      </c>
    </row>
    <row r="442" spans="2:25">
      <c r="B442" s="59" t="s">
        <v>730</v>
      </c>
      <c r="C442" s="10"/>
      <c r="D442" s="3"/>
      <c r="E442" s="483"/>
      <c r="F442" s="35"/>
      <c r="G442" s="35"/>
      <c r="H442" s="51" t="s">
        <v>341</v>
      </c>
      <c r="I442" s="3"/>
      <c r="J442" s="331">
        <f t="shared" si="49"/>
        <v>0</v>
      </c>
      <c r="K442" s="331">
        <f t="shared" si="43"/>
        <v>0</v>
      </c>
      <c r="L442" s="326">
        <f>K442*係数!$I$30</f>
        <v>0</v>
      </c>
      <c r="M442" s="326">
        <f>K442*係数!$C$30*0.0000258</f>
        <v>0</v>
      </c>
      <c r="N442" s="10"/>
      <c r="O442" s="3"/>
      <c r="P442" s="483"/>
      <c r="Q442" s="51" t="s">
        <v>341</v>
      </c>
      <c r="R442" s="3"/>
      <c r="S442" s="329">
        <f t="shared" si="44"/>
        <v>0</v>
      </c>
      <c r="T442" s="327">
        <f t="shared" si="45"/>
        <v>0</v>
      </c>
      <c r="U442" s="326">
        <f>T442*係数!$I$30</f>
        <v>0</v>
      </c>
      <c r="V442" s="326">
        <f>T442*係数!$C$30*0.0000258</f>
        <v>0</v>
      </c>
      <c r="W442" s="282">
        <f t="shared" si="46"/>
        <v>0</v>
      </c>
      <c r="X442" s="337">
        <f t="shared" si="47"/>
        <v>0</v>
      </c>
      <c r="Y442" s="244">
        <f t="shared" si="48"/>
        <v>0</v>
      </c>
    </row>
    <row r="443" spans="2:25">
      <c r="B443" s="59" t="s">
        <v>731</v>
      </c>
      <c r="C443" s="10"/>
      <c r="D443" s="3"/>
      <c r="E443" s="483"/>
      <c r="F443" s="35"/>
      <c r="G443" s="35"/>
      <c r="H443" s="51" t="s">
        <v>341</v>
      </c>
      <c r="I443" s="3"/>
      <c r="J443" s="331">
        <f t="shared" si="49"/>
        <v>0</v>
      </c>
      <c r="K443" s="331">
        <f t="shared" si="43"/>
        <v>0</v>
      </c>
      <c r="L443" s="326">
        <f>K443*係数!$I$30</f>
        <v>0</v>
      </c>
      <c r="M443" s="326">
        <f>K443*係数!$C$30*0.0000258</f>
        <v>0</v>
      </c>
      <c r="N443" s="10"/>
      <c r="O443" s="3"/>
      <c r="P443" s="483"/>
      <c r="Q443" s="51" t="s">
        <v>341</v>
      </c>
      <c r="R443" s="3"/>
      <c r="S443" s="329">
        <f t="shared" si="44"/>
        <v>0</v>
      </c>
      <c r="T443" s="327">
        <f t="shared" si="45"/>
        <v>0</v>
      </c>
      <c r="U443" s="326">
        <f>T443*係数!$I$30</f>
        <v>0</v>
      </c>
      <c r="V443" s="326">
        <f>T443*係数!$C$30*0.0000258</f>
        <v>0</v>
      </c>
      <c r="W443" s="282">
        <f t="shared" si="46"/>
        <v>0</v>
      </c>
      <c r="X443" s="337">
        <f t="shared" si="47"/>
        <v>0</v>
      </c>
      <c r="Y443" s="244">
        <f t="shared" si="48"/>
        <v>0</v>
      </c>
    </row>
    <row r="444" spans="2:25">
      <c r="B444" s="59" t="s">
        <v>732</v>
      </c>
      <c r="C444" s="10"/>
      <c r="D444" s="3"/>
      <c r="E444" s="483"/>
      <c r="F444" s="35"/>
      <c r="G444" s="35"/>
      <c r="H444" s="51" t="s">
        <v>341</v>
      </c>
      <c r="I444" s="3"/>
      <c r="J444" s="331">
        <f t="shared" si="49"/>
        <v>0</v>
      </c>
      <c r="K444" s="331">
        <f t="shared" si="43"/>
        <v>0</v>
      </c>
      <c r="L444" s="326">
        <f>K444*係数!$I$30</f>
        <v>0</v>
      </c>
      <c r="M444" s="326">
        <f>K444*係数!$C$30*0.0000258</f>
        <v>0</v>
      </c>
      <c r="N444" s="10"/>
      <c r="O444" s="3"/>
      <c r="P444" s="483"/>
      <c r="Q444" s="51" t="s">
        <v>341</v>
      </c>
      <c r="R444" s="3"/>
      <c r="S444" s="329">
        <f t="shared" si="44"/>
        <v>0</v>
      </c>
      <c r="T444" s="327">
        <f t="shared" si="45"/>
        <v>0</v>
      </c>
      <c r="U444" s="326">
        <f>T444*係数!$I$30</f>
        <v>0</v>
      </c>
      <c r="V444" s="326">
        <f>T444*係数!$C$30*0.0000258</f>
        <v>0</v>
      </c>
      <c r="W444" s="282">
        <f t="shared" si="46"/>
        <v>0</v>
      </c>
      <c r="X444" s="337">
        <f t="shared" si="47"/>
        <v>0</v>
      </c>
      <c r="Y444" s="244">
        <f t="shared" si="48"/>
        <v>0</v>
      </c>
    </row>
    <row r="445" spans="2:25">
      <c r="B445" s="59" t="s">
        <v>733</v>
      </c>
      <c r="C445" s="10"/>
      <c r="D445" s="3"/>
      <c r="E445" s="483"/>
      <c r="F445" s="35"/>
      <c r="G445" s="35"/>
      <c r="H445" s="51" t="s">
        <v>341</v>
      </c>
      <c r="I445" s="3"/>
      <c r="J445" s="331">
        <f t="shared" si="49"/>
        <v>0</v>
      </c>
      <c r="K445" s="331">
        <f t="shared" si="43"/>
        <v>0</v>
      </c>
      <c r="L445" s="326">
        <f>K445*係数!$I$30</f>
        <v>0</v>
      </c>
      <c r="M445" s="326">
        <f>K445*係数!$C$30*0.0000258</f>
        <v>0</v>
      </c>
      <c r="N445" s="10"/>
      <c r="O445" s="3"/>
      <c r="P445" s="483"/>
      <c r="Q445" s="51" t="s">
        <v>341</v>
      </c>
      <c r="R445" s="3"/>
      <c r="S445" s="329">
        <f t="shared" si="44"/>
        <v>0</v>
      </c>
      <c r="T445" s="327">
        <f t="shared" si="45"/>
        <v>0</v>
      </c>
      <c r="U445" s="326">
        <f>T445*係数!$I$30</f>
        <v>0</v>
      </c>
      <c r="V445" s="326">
        <f>T445*係数!$C$30*0.0000258</f>
        <v>0</v>
      </c>
      <c r="W445" s="282">
        <f t="shared" si="46"/>
        <v>0</v>
      </c>
      <c r="X445" s="337">
        <f t="shared" si="47"/>
        <v>0</v>
      </c>
      <c r="Y445" s="244">
        <f t="shared" si="48"/>
        <v>0</v>
      </c>
    </row>
    <row r="446" spans="2:25">
      <c r="B446" s="59" t="s">
        <v>734</v>
      </c>
      <c r="C446" s="10"/>
      <c r="D446" s="3"/>
      <c r="E446" s="483"/>
      <c r="F446" s="35"/>
      <c r="G446" s="35"/>
      <c r="H446" s="51" t="s">
        <v>341</v>
      </c>
      <c r="I446" s="3"/>
      <c r="J446" s="331">
        <f t="shared" si="49"/>
        <v>0</v>
      </c>
      <c r="K446" s="331">
        <f t="shared" si="43"/>
        <v>0</v>
      </c>
      <c r="L446" s="326">
        <f>K446*係数!$I$30</f>
        <v>0</v>
      </c>
      <c r="M446" s="326">
        <f>K446*係数!$C$30*0.0000258</f>
        <v>0</v>
      </c>
      <c r="N446" s="10"/>
      <c r="O446" s="3"/>
      <c r="P446" s="483"/>
      <c r="Q446" s="51" t="s">
        <v>341</v>
      </c>
      <c r="R446" s="3"/>
      <c r="S446" s="329">
        <f t="shared" si="44"/>
        <v>0</v>
      </c>
      <c r="T446" s="327">
        <f t="shared" si="45"/>
        <v>0</v>
      </c>
      <c r="U446" s="326">
        <f>T446*係数!$I$30</f>
        <v>0</v>
      </c>
      <c r="V446" s="326">
        <f>T446*係数!$C$30*0.0000258</f>
        <v>0</v>
      </c>
      <c r="W446" s="282">
        <f t="shared" si="46"/>
        <v>0</v>
      </c>
      <c r="X446" s="337">
        <f t="shared" si="47"/>
        <v>0</v>
      </c>
      <c r="Y446" s="244">
        <f t="shared" si="48"/>
        <v>0</v>
      </c>
    </row>
    <row r="447" spans="2:25">
      <c r="B447" s="59" t="s">
        <v>735</v>
      </c>
      <c r="C447" s="10"/>
      <c r="D447" s="3"/>
      <c r="E447" s="483"/>
      <c r="F447" s="35"/>
      <c r="G447" s="35"/>
      <c r="H447" s="51" t="s">
        <v>341</v>
      </c>
      <c r="I447" s="3"/>
      <c r="J447" s="331">
        <f t="shared" si="49"/>
        <v>0</v>
      </c>
      <c r="K447" s="331">
        <f t="shared" si="43"/>
        <v>0</v>
      </c>
      <c r="L447" s="326">
        <f>K447*係数!$I$30</f>
        <v>0</v>
      </c>
      <c r="M447" s="326">
        <f>K447*係数!$C$30*0.0000258</f>
        <v>0</v>
      </c>
      <c r="N447" s="10"/>
      <c r="O447" s="3"/>
      <c r="P447" s="483"/>
      <c r="Q447" s="51" t="s">
        <v>341</v>
      </c>
      <c r="R447" s="3"/>
      <c r="S447" s="329">
        <f t="shared" si="44"/>
        <v>0</v>
      </c>
      <c r="T447" s="327">
        <f t="shared" si="45"/>
        <v>0</v>
      </c>
      <c r="U447" s="326">
        <f>T447*係数!$I$30</f>
        <v>0</v>
      </c>
      <c r="V447" s="326">
        <f>T447*係数!$C$30*0.0000258</f>
        <v>0</v>
      </c>
      <c r="W447" s="282">
        <f t="shared" si="46"/>
        <v>0</v>
      </c>
      <c r="X447" s="337">
        <f t="shared" si="47"/>
        <v>0</v>
      </c>
      <c r="Y447" s="244">
        <f t="shared" si="48"/>
        <v>0</v>
      </c>
    </row>
    <row r="448" spans="2:25">
      <c r="B448" s="59" t="s">
        <v>736</v>
      </c>
      <c r="C448" s="10"/>
      <c r="D448" s="3"/>
      <c r="E448" s="483"/>
      <c r="F448" s="35"/>
      <c r="G448" s="35"/>
      <c r="H448" s="51" t="s">
        <v>341</v>
      </c>
      <c r="I448" s="3"/>
      <c r="J448" s="331">
        <f t="shared" si="49"/>
        <v>0</v>
      </c>
      <c r="K448" s="331">
        <f t="shared" si="43"/>
        <v>0</v>
      </c>
      <c r="L448" s="326">
        <f>K448*係数!$I$30</f>
        <v>0</v>
      </c>
      <c r="M448" s="326">
        <f>K448*係数!$C$30*0.0000258</f>
        <v>0</v>
      </c>
      <c r="N448" s="10"/>
      <c r="O448" s="3"/>
      <c r="P448" s="483"/>
      <c r="Q448" s="51" t="s">
        <v>341</v>
      </c>
      <c r="R448" s="3"/>
      <c r="S448" s="329">
        <f t="shared" si="44"/>
        <v>0</v>
      </c>
      <c r="T448" s="327">
        <f t="shared" si="45"/>
        <v>0</v>
      </c>
      <c r="U448" s="326">
        <f>T448*係数!$I$30</f>
        <v>0</v>
      </c>
      <c r="V448" s="326">
        <f>T448*係数!$C$30*0.0000258</f>
        <v>0</v>
      </c>
      <c r="W448" s="282">
        <f t="shared" si="46"/>
        <v>0</v>
      </c>
      <c r="X448" s="337">
        <f t="shared" si="47"/>
        <v>0</v>
      </c>
      <c r="Y448" s="244">
        <f t="shared" si="48"/>
        <v>0</v>
      </c>
    </row>
    <row r="449" spans="2:25">
      <c r="B449" s="59" t="s">
        <v>737</v>
      </c>
      <c r="C449" s="10"/>
      <c r="D449" s="3"/>
      <c r="E449" s="483"/>
      <c r="F449" s="35"/>
      <c r="G449" s="35"/>
      <c r="H449" s="51" t="s">
        <v>341</v>
      </c>
      <c r="I449" s="3"/>
      <c r="J449" s="331">
        <f t="shared" si="49"/>
        <v>0</v>
      </c>
      <c r="K449" s="331">
        <f t="shared" si="43"/>
        <v>0</v>
      </c>
      <c r="L449" s="326">
        <f>K449*係数!$I$30</f>
        <v>0</v>
      </c>
      <c r="M449" s="326">
        <f>K449*係数!$C$30*0.0000258</f>
        <v>0</v>
      </c>
      <c r="N449" s="10"/>
      <c r="O449" s="3"/>
      <c r="P449" s="483"/>
      <c r="Q449" s="51" t="s">
        <v>341</v>
      </c>
      <c r="R449" s="3"/>
      <c r="S449" s="329">
        <f t="shared" si="44"/>
        <v>0</v>
      </c>
      <c r="T449" s="327">
        <f t="shared" si="45"/>
        <v>0</v>
      </c>
      <c r="U449" s="326">
        <f>T449*係数!$I$30</f>
        <v>0</v>
      </c>
      <c r="V449" s="326">
        <f>T449*係数!$C$30*0.0000258</f>
        <v>0</v>
      </c>
      <c r="W449" s="282">
        <f t="shared" si="46"/>
        <v>0</v>
      </c>
      <c r="X449" s="337">
        <f t="shared" si="47"/>
        <v>0</v>
      </c>
      <c r="Y449" s="244">
        <f t="shared" si="48"/>
        <v>0</v>
      </c>
    </row>
    <row r="450" spans="2:25">
      <c r="B450" s="59" t="s">
        <v>738</v>
      </c>
      <c r="C450" s="10"/>
      <c r="D450" s="3"/>
      <c r="E450" s="483"/>
      <c r="F450" s="35"/>
      <c r="G450" s="35"/>
      <c r="H450" s="51" t="s">
        <v>341</v>
      </c>
      <c r="I450" s="3"/>
      <c r="J450" s="331">
        <f t="shared" si="49"/>
        <v>0</v>
      </c>
      <c r="K450" s="331">
        <f t="shared" si="43"/>
        <v>0</v>
      </c>
      <c r="L450" s="326">
        <f>K450*係数!$I$30</f>
        <v>0</v>
      </c>
      <c r="M450" s="326">
        <f>K450*係数!$C$30*0.0000258</f>
        <v>0</v>
      </c>
      <c r="N450" s="10"/>
      <c r="O450" s="3"/>
      <c r="P450" s="483"/>
      <c r="Q450" s="51" t="s">
        <v>341</v>
      </c>
      <c r="R450" s="3"/>
      <c r="S450" s="329">
        <f t="shared" si="44"/>
        <v>0</v>
      </c>
      <c r="T450" s="327">
        <f t="shared" si="45"/>
        <v>0</v>
      </c>
      <c r="U450" s="326">
        <f>T450*係数!$I$30</f>
        <v>0</v>
      </c>
      <c r="V450" s="326">
        <f>T450*係数!$C$30*0.0000258</f>
        <v>0</v>
      </c>
      <c r="W450" s="282">
        <f t="shared" si="46"/>
        <v>0</v>
      </c>
      <c r="X450" s="337">
        <f t="shared" si="47"/>
        <v>0</v>
      </c>
      <c r="Y450" s="244">
        <f t="shared" si="48"/>
        <v>0</v>
      </c>
    </row>
    <row r="451" spans="2:25">
      <c r="B451" s="59" t="s">
        <v>739</v>
      </c>
      <c r="C451" s="10"/>
      <c r="D451" s="3"/>
      <c r="E451" s="483"/>
      <c r="F451" s="35"/>
      <c r="G451" s="35"/>
      <c r="H451" s="51" t="s">
        <v>341</v>
      </c>
      <c r="I451" s="3"/>
      <c r="J451" s="331">
        <f t="shared" si="49"/>
        <v>0</v>
      </c>
      <c r="K451" s="331">
        <f t="shared" si="43"/>
        <v>0</v>
      </c>
      <c r="L451" s="326">
        <f>K451*係数!$I$30</f>
        <v>0</v>
      </c>
      <c r="M451" s="326">
        <f>K451*係数!$C$30*0.0000258</f>
        <v>0</v>
      </c>
      <c r="N451" s="10"/>
      <c r="O451" s="3"/>
      <c r="P451" s="483"/>
      <c r="Q451" s="51" t="s">
        <v>341</v>
      </c>
      <c r="R451" s="3"/>
      <c r="S451" s="329">
        <f t="shared" si="44"/>
        <v>0</v>
      </c>
      <c r="T451" s="327">
        <f t="shared" si="45"/>
        <v>0</v>
      </c>
      <c r="U451" s="326">
        <f>T451*係数!$I$30</f>
        <v>0</v>
      </c>
      <c r="V451" s="326">
        <f>T451*係数!$C$30*0.0000258</f>
        <v>0</v>
      </c>
      <c r="W451" s="282">
        <f t="shared" si="46"/>
        <v>0</v>
      </c>
      <c r="X451" s="337">
        <f t="shared" si="47"/>
        <v>0</v>
      </c>
      <c r="Y451" s="244">
        <f t="shared" si="48"/>
        <v>0</v>
      </c>
    </row>
    <row r="452" spans="2:25">
      <c r="B452" s="59" t="s">
        <v>740</v>
      </c>
      <c r="C452" s="10"/>
      <c r="D452" s="3"/>
      <c r="E452" s="483"/>
      <c r="F452" s="35"/>
      <c r="G452" s="35"/>
      <c r="H452" s="51" t="s">
        <v>341</v>
      </c>
      <c r="I452" s="3"/>
      <c r="J452" s="331">
        <f t="shared" si="49"/>
        <v>0</v>
      </c>
      <c r="K452" s="331">
        <f t="shared" si="43"/>
        <v>0</v>
      </c>
      <c r="L452" s="326">
        <f>K452*係数!$I$30</f>
        <v>0</v>
      </c>
      <c r="M452" s="326">
        <f>K452*係数!$C$30*0.0000258</f>
        <v>0</v>
      </c>
      <c r="N452" s="10"/>
      <c r="O452" s="3"/>
      <c r="P452" s="483"/>
      <c r="Q452" s="51" t="s">
        <v>341</v>
      </c>
      <c r="R452" s="3"/>
      <c r="S452" s="329">
        <f t="shared" si="44"/>
        <v>0</v>
      </c>
      <c r="T452" s="327">
        <f t="shared" si="45"/>
        <v>0</v>
      </c>
      <c r="U452" s="326">
        <f>T452*係数!$I$30</f>
        <v>0</v>
      </c>
      <c r="V452" s="326">
        <f>T452*係数!$C$30*0.0000258</f>
        <v>0</v>
      </c>
      <c r="W452" s="282">
        <f t="shared" si="46"/>
        <v>0</v>
      </c>
      <c r="X452" s="337">
        <f t="shared" si="47"/>
        <v>0</v>
      </c>
      <c r="Y452" s="244">
        <f t="shared" si="48"/>
        <v>0</v>
      </c>
    </row>
    <row r="453" spans="2:25">
      <c r="B453" s="59" t="s">
        <v>741</v>
      </c>
      <c r="C453" s="10"/>
      <c r="D453" s="3"/>
      <c r="E453" s="483"/>
      <c r="F453" s="35"/>
      <c r="G453" s="35"/>
      <c r="H453" s="51" t="s">
        <v>341</v>
      </c>
      <c r="I453" s="3"/>
      <c r="J453" s="331">
        <f t="shared" si="49"/>
        <v>0</v>
      </c>
      <c r="K453" s="331">
        <f t="shared" si="43"/>
        <v>0</v>
      </c>
      <c r="L453" s="326">
        <f>K453*係数!$I$30</f>
        <v>0</v>
      </c>
      <c r="M453" s="326">
        <f>K453*係数!$C$30*0.0000258</f>
        <v>0</v>
      </c>
      <c r="N453" s="10"/>
      <c r="O453" s="3"/>
      <c r="P453" s="483"/>
      <c r="Q453" s="51" t="s">
        <v>341</v>
      </c>
      <c r="R453" s="3"/>
      <c r="S453" s="329">
        <f t="shared" si="44"/>
        <v>0</v>
      </c>
      <c r="T453" s="327">
        <f t="shared" si="45"/>
        <v>0</v>
      </c>
      <c r="U453" s="326">
        <f>T453*係数!$I$30</f>
        <v>0</v>
      </c>
      <c r="V453" s="326">
        <f>T453*係数!$C$30*0.0000258</f>
        <v>0</v>
      </c>
      <c r="W453" s="282">
        <f t="shared" si="46"/>
        <v>0</v>
      </c>
      <c r="X453" s="337">
        <f t="shared" si="47"/>
        <v>0</v>
      </c>
      <c r="Y453" s="244">
        <f t="shared" si="48"/>
        <v>0</v>
      </c>
    </row>
    <row r="454" spans="2:25">
      <c r="B454" s="59" t="s">
        <v>742</v>
      </c>
      <c r="C454" s="10"/>
      <c r="D454" s="3"/>
      <c r="E454" s="483"/>
      <c r="F454" s="35"/>
      <c r="G454" s="35"/>
      <c r="H454" s="51" t="s">
        <v>341</v>
      </c>
      <c r="I454" s="3"/>
      <c r="J454" s="331">
        <f t="shared" si="49"/>
        <v>0</v>
      </c>
      <c r="K454" s="331">
        <f t="shared" si="43"/>
        <v>0</v>
      </c>
      <c r="L454" s="326">
        <f>K454*係数!$I$30</f>
        <v>0</v>
      </c>
      <c r="M454" s="326">
        <f>K454*係数!$C$30*0.0000258</f>
        <v>0</v>
      </c>
      <c r="N454" s="10"/>
      <c r="O454" s="3"/>
      <c r="P454" s="483"/>
      <c r="Q454" s="51" t="s">
        <v>341</v>
      </c>
      <c r="R454" s="3"/>
      <c r="S454" s="329">
        <f t="shared" si="44"/>
        <v>0</v>
      </c>
      <c r="T454" s="327">
        <f t="shared" si="45"/>
        <v>0</v>
      </c>
      <c r="U454" s="326">
        <f>T454*係数!$I$30</f>
        <v>0</v>
      </c>
      <c r="V454" s="326">
        <f>T454*係数!$C$30*0.0000258</f>
        <v>0</v>
      </c>
      <c r="W454" s="282">
        <f t="shared" si="46"/>
        <v>0</v>
      </c>
      <c r="X454" s="337">
        <f t="shared" si="47"/>
        <v>0</v>
      </c>
      <c r="Y454" s="244">
        <f t="shared" si="48"/>
        <v>0</v>
      </c>
    </row>
    <row r="455" spans="2:25">
      <c r="B455" s="59" t="s">
        <v>743</v>
      </c>
      <c r="C455" s="10"/>
      <c r="D455" s="3"/>
      <c r="E455" s="483"/>
      <c r="F455" s="35"/>
      <c r="G455" s="35"/>
      <c r="H455" s="51" t="s">
        <v>341</v>
      </c>
      <c r="I455" s="3"/>
      <c r="J455" s="331">
        <f t="shared" si="49"/>
        <v>0</v>
      </c>
      <c r="K455" s="331">
        <f t="shared" si="43"/>
        <v>0</v>
      </c>
      <c r="L455" s="326">
        <f>K455*係数!$I$30</f>
        <v>0</v>
      </c>
      <c r="M455" s="326">
        <f>K455*係数!$C$30*0.0000258</f>
        <v>0</v>
      </c>
      <c r="N455" s="10"/>
      <c r="O455" s="3"/>
      <c r="P455" s="483"/>
      <c r="Q455" s="51" t="s">
        <v>341</v>
      </c>
      <c r="R455" s="3"/>
      <c r="S455" s="329">
        <f t="shared" si="44"/>
        <v>0</v>
      </c>
      <c r="T455" s="327">
        <f t="shared" si="45"/>
        <v>0</v>
      </c>
      <c r="U455" s="326">
        <f>T455*係数!$I$30</f>
        <v>0</v>
      </c>
      <c r="V455" s="326">
        <f>T455*係数!$C$30*0.0000258</f>
        <v>0</v>
      </c>
      <c r="W455" s="282">
        <f t="shared" si="46"/>
        <v>0</v>
      </c>
      <c r="X455" s="337">
        <f t="shared" si="47"/>
        <v>0</v>
      </c>
      <c r="Y455" s="244">
        <f t="shared" si="48"/>
        <v>0</v>
      </c>
    </row>
    <row r="456" spans="2:25">
      <c r="B456" s="59" t="s">
        <v>744</v>
      </c>
      <c r="C456" s="10"/>
      <c r="D456" s="3"/>
      <c r="E456" s="483"/>
      <c r="F456" s="35"/>
      <c r="G456" s="35"/>
      <c r="H456" s="51" t="s">
        <v>341</v>
      </c>
      <c r="I456" s="3"/>
      <c r="J456" s="331">
        <f t="shared" si="49"/>
        <v>0</v>
      </c>
      <c r="K456" s="331">
        <f t="shared" si="43"/>
        <v>0</v>
      </c>
      <c r="L456" s="326">
        <f>K456*係数!$I$30</f>
        <v>0</v>
      </c>
      <c r="M456" s="326">
        <f>K456*係数!$C$30*0.0000258</f>
        <v>0</v>
      </c>
      <c r="N456" s="10"/>
      <c r="O456" s="3"/>
      <c r="P456" s="483"/>
      <c r="Q456" s="51" t="s">
        <v>341</v>
      </c>
      <c r="R456" s="3"/>
      <c r="S456" s="329">
        <f t="shared" si="44"/>
        <v>0</v>
      </c>
      <c r="T456" s="327">
        <f t="shared" si="45"/>
        <v>0</v>
      </c>
      <c r="U456" s="326">
        <f>T456*係数!$I$30</f>
        <v>0</v>
      </c>
      <c r="V456" s="326">
        <f>T456*係数!$C$30*0.0000258</f>
        <v>0</v>
      </c>
      <c r="W456" s="282">
        <f t="shared" si="46"/>
        <v>0</v>
      </c>
      <c r="X456" s="337">
        <f t="shared" si="47"/>
        <v>0</v>
      </c>
      <c r="Y456" s="244">
        <f t="shared" si="48"/>
        <v>0</v>
      </c>
    </row>
    <row r="457" spans="2:25">
      <c r="B457" s="59" t="s">
        <v>745</v>
      </c>
      <c r="C457" s="10"/>
      <c r="D457" s="3"/>
      <c r="E457" s="483"/>
      <c r="F457" s="35"/>
      <c r="G457" s="35"/>
      <c r="H457" s="51" t="s">
        <v>341</v>
      </c>
      <c r="I457" s="3"/>
      <c r="J457" s="331">
        <f t="shared" si="49"/>
        <v>0</v>
      </c>
      <c r="K457" s="331">
        <f t="shared" si="43"/>
        <v>0</v>
      </c>
      <c r="L457" s="326">
        <f>K457*係数!$I$30</f>
        <v>0</v>
      </c>
      <c r="M457" s="326">
        <f>K457*係数!$C$30*0.0000258</f>
        <v>0</v>
      </c>
      <c r="N457" s="10"/>
      <c r="O457" s="3"/>
      <c r="P457" s="483"/>
      <c r="Q457" s="51" t="s">
        <v>341</v>
      </c>
      <c r="R457" s="3"/>
      <c r="S457" s="329">
        <f t="shared" si="44"/>
        <v>0</v>
      </c>
      <c r="T457" s="327">
        <f t="shared" si="45"/>
        <v>0</v>
      </c>
      <c r="U457" s="326">
        <f>T457*係数!$I$30</f>
        <v>0</v>
      </c>
      <c r="V457" s="326">
        <f>T457*係数!$C$30*0.0000258</f>
        <v>0</v>
      </c>
      <c r="W457" s="282">
        <f t="shared" si="46"/>
        <v>0</v>
      </c>
      <c r="X457" s="337">
        <f t="shared" si="47"/>
        <v>0</v>
      </c>
      <c r="Y457" s="244">
        <f t="shared" si="48"/>
        <v>0</v>
      </c>
    </row>
    <row r="458" spans="2:25">
      <c r="B458" s="59" t="s">
        <v>746</v>
      </c>
      <c r="C458" s="10"/>
      <c r="D458" s="3"/>
      <c r="E458" s="483"/>
      <c r="F458" s="35"/>
      <c r="G458" s="35"/>
      <c r="H458" s="51" t="s">
        <v>341</v>
      </c>
      <c r="I458" s="3"/>
      <c r="J458" s="331">
        <f t="shared" si="49"/>
        <v>0</v>
      </c>
      <c r="K458" s="331">
        <f t="shared" si="43"/>
        <v>0</v>
      </c>
      <c r="L458" s="326">
        <f>K458*係数!$I$30</f>
        <v>0</v>
      </c>
      <c r="M458" s="326">
        <f>K458*係数!$C$30*0.0000258</f>
        <v>0</v>
      </c>
      <c r="N458" s="10"/>
      <c r="O458" s="3"/>
      <c r="P458" s="483"/>
      <c r="Q458" s="51" t="s">
        <v>341</v>
      </c>
      <c r="R458" s="3"/>
      <c r="S458" s="329">
        <f t="shared" si="44"/>
        <v>0</v>
      </c>
      <c r="T458" s="327">
        <f t="shared" si="45"/>
        <v>0</v>
      </c>
      <c r="U458" s="326">
        <f>T458*係数!$I$30</f>
        <v>0</v>
      </c>
      <c r="V458" s="326">
        <f>T458*係数!$C$30*0.0000258</f>
        <v>0</v>
      </c>
      <c r="W458" s="282">
        <f t="shared" si="46"/>
        <v>0</v>
      </c>
      <c r="X458" s="337">
        <f t="shared" si="47"/>
        <v>0</v>
      </c>
      <c r="Y458" s="244">
        <f t="shared" si="48"/>
        <v>0</v>
      </c>
    </row>
    <row r="459" spans="2:25">
      <c r="B459" s="59" t="s">
        <v>747</v>
      </c>
      <c r="C459" s="10"/>
      <c r="D459" s="3"/>
      <c r="E459" s="483"/>
      <c r="F459" s="35"/>
      <c r="G459" s="35"/>
      <c r="H459" s="51" t="s">
        <v>341</v>
      </c>
      <c r="I459" s="3"/>
      <c r="J459" s="331">
        <f t="shared" si="49"/>
        <v>0</v>
      </c>
      <c r="K459" s="331">
        <f t="shared" si="43"/>
        <v>0</v>
      </c>
      <c r="L459" s="326">
        <f>K459*係数!$I$30</f>
        <v>0</v>
      </c>
      <c r="M459" s="326">
        <f>K459*係数!$C$30*0.0000258</f>
        <v>0</v>
      </c>
      <c r="N459" s="10"/>
      <c r="O459" s="3"/>
      <c r="P459" s="483"/>
      <c r="Q459" s="51" t="s">
        <v>341</v>
      </c>
      <c r="R459" s="3"/>
      <c r="S459" s="329">
        <f t="shared" si="44"/>
        <v>0</v>
      </c>
      <c r="T459" s="327">
        <f t="shared" si="45"/>
        <v>0</v>
      </c>
      <c r="U459" s="326">
        <f>T459*係数!$I$30</f>
        <v>0</v>
      </c>
      <c r="V459" s="326">
        <f>T459*係数!$C$30*0.0000258</f>
        <v>0</v>
      </c>
      <c r="W459" s="282">
        <f t="shared" si="46"/>
        <v>0</v>
      </c>
      <c r="X459" s="337">
        <f t="shared" si="47"/>
        <v>0</v>
      </c>
      <c r="Y459" s="244">
        <f t="shared" si="48"/>
        <v>0</v>
      </c>
    </row>
    <row r="460" spans="2:25">
      <c r="B460" s="59" t="s">
        <v>748</v>
      </c>
      <c r="C460" s="10"/>
      <c r="D460" s="3"/>
      <c r="E460" s="483"/>
      <c r="F460" s="35"/>
      <c r="G460" s="35"/>
      <c r="H460" s="51" t="s">
        <v>341</v>
      </c>
      <c r="I460" s="3"/>
      <c r="J460" s="331">
        <f t="shared" si="49"/>
        <v>0</v>
      </c>
      <c r="K460" s="331">
        <f t="shared" si="43"/>
        <v>0</v>
      </c>
      <c r="L460" s="326">
        <f>K460*係数!$I$30</f>
        <v>0</v>
      </c>
      <c r="M460" s="326">
        <f>K460*係数!$C$30*0.0000258</f>
        <v>0</v>
      </c>
      <c r="N460" s="10"/>
      <c r="O460" s="3"/>
      <c r="P460" s="483"/>
      <c r="Q460" s="51" t="s">
        <v>341</v>
      </c>
      <c r="R460" s="3"/>
      <c r="S460" s="329">
        <f t="shared" si="44"/>
        <v>0</v>
      </c>
      <c r="T460" s="327">
        <f t="shared" si="45"/>
        <v>0</v>
      </c>
      <c r="U460" s="326">
        <f>T460*係数!$I$30</f>
        <v>0</v>
      </c>
      <c r="V460" s="326">
        <f>T460*係数!$C$30*0.0000258</f>
        <v>0</v>
      </c>
      <c r="W460" s="282">
        <f t="shared" si="46"/>
        <v>0</v>
      </c>
      <c r="X460" s="337">
        <f t="shared" si="47"/>
        <v>0</v>
      </c>
      <c r="Y460" s="244">
        <f t="shared" si="48"/>
        <v>0</v>
      </c>
    </row>
    <row r="461" spans="2:25">
      <c r="B461" s="59" t="s">
        <v>749</v>
      </c>
      <c r="C461" s="10"/>
      <c r="D461" s="3"/>
      <c r="E461" s="483"/>
      <c r="F461" s="35"/>
      <c r="G461" s="35"/>
      <c r="H461" s="51" t="s">
        <v>341</v>
      </c>
      <c r="I461" s="3"/>
      <c r="J461" s="331">
        <f t="shared" si="49"/>
        <v>0</v>
      </c>
      <c r="K461" s="331">
        <f t="shared" si="43"/>
        <v>0</v>
      </c>
      <c r="L461" s="326">
        <f>K461*係数!$I$30</f>
        <v>0</v>
      </c>
      <c r="M461" s="326">
        <f>K461*係数!$C$30*0.0000258</f>
        <v>0</v>
      </c>
      <c r="N461" s="10"/>
      <c r="O461" s="3"/>
      <c r="P461" s="483"/>
      <c r="Q461" s="51" t="s">
        <v>341</v>
      </c>
      <c r="R461" s="3"/>
      <c r="S461" s="329">
        <f t="shared" si="44"/>
        <v>0</v>
      </c>
      <c r="T461" s="327">
        <f t="shared" si="45"/>
        <v>0</v>
      </c>
      <c r="U461" s="326">
        <f>T461*係数!$I$30</f>
        <v>0</v>
      </c>
      <c r="V461" s="326">
        <f>T461*係数!$C$30*0.0000258</f>
        <v>0</v>
      </c>
      <c r="W461" s="282">
        <f t="shared" si="46"/>
        <v>0</v>
      </c>
      <c r="X461" s="337">
        <f t="shared" si="47"/>
        <v>0</v>
      </c>
      <c r="Y461" s="244">
        <f t="shared" si="48"/>
        <v>0</v>
      </c>
    </row>
    <row r="462" spans="2:25">
      <c r="B462" s="59" t="s">
        <v>750</v>
      </c>
      <c r="C462" s="10"/>
      <c r="D462" s="3"/>
      <c r="E462" s="483"/>
      <c r="F462" s="35"/>
      <c r="G462" s="35"/>
      <c r="H462" s="51" t="s">
        <v>341</v>
      </c>
      <c r="I462" s="3"/>
      <c r="J462" s="331">
        <f t="shared" si="49"/>
        <v>0</v>
      </c>
      <c r="K462" s="331">
        <f t="shared" si="43"/>
        <v>0</v>
      </c>
      <c r="L462" s="326">
        <f>K462*係数!$I$30</f>
        <v>0</v>
      </c>
      <c r="M462" s="326">
        <f>K462*係数!$C$30*0.0000258</f>
        <v>0</v>
      </c>
      <c r="N462" s="10"/>
      <c r="O462" s="3"/>
      <c r="P462" s="483"/>
      <c r="Q462" s="51" t="s">
        <v>341</v>
      </c>
      <c r="R462" s="3"/>
      <c r="S462" s="329">
        <f t="shared" si="44"/>
        <v>0</v>
      </c>
      <c r="T462" s="327">
        <f t="shared" si="45"/>
        <v>0</v>
      </c>
      <c r="U462" s="326">
        <f>T462*係数!$I$30</f>
        <v>0</v>
      </c>
      <c r="V462" s="326">
        <f>T462*係数!$C$30*0.0000258</f>
        <v>0</v>
      </c>
      <c r="W462" s="282">
        <f t="shared" si="46"/>
        <v>0</v>
      </c>
      <c r="X462" s="337">
        <f t="shared" si="47"/>
        <v>0</v>
      </c>
      <c r="Y462" s="244">
        <f t="shared" si="48"/>
        <v>0</v>
      </c>
    </row>
    <row r="463" spans="2:25">
      <c r="B463" s="59" t="s">
        <v>751</v>
      </c>
      <c r="C463" s="10"/>
      <c r="D463" s="3"/>
      <c r="E463" s="483"/>
      <c r="F463" s="35"/>
      <c r="G463" s="35"/>
      <c r="H463" s="51" t="s">
        <v>341</v>
      </c>
      <c r="I463" s="3"/>
      <c r="J463" s="331">
        <f t="shared" si="49"/>
        <v>0</v>
      </c>
      <c r="K463" s="331">
        <f t="shared" si="43"/>
        <v>0</v>
      </c>
      <c r="L463" s="326">
        <f>K463*係数!$I$30</f>
        <v>0</v>
      </c>
      <c r="M463" s="326">
        <f>K463*係数!$C$30*0.0000258</f>
        <v>0</v>
      </c>
      <c r="N463" s="10"/>
      <c r="O463" s="3"/>
      <c r="P463" s="483"/>
      <c r="Q463" s="51" t="s">
        <v>341</v>
      </c>
      <c r="R463" s="3"/>
      <c r="S463" s="329">
        <f t="shared" si="44"/>
        <v>0</v>
      </c>
      <c r="T463" s="327">
        <f t="shared" si="45"/>
        <v>0</v>
      </c>
      <c r="U463" s="326">
        <f>T463*係数!$I$30</f>
        <v>0</v>
      </c>
      <c r="V463" s="326">
        <f>T463*係数!$C$30*0.0000258</f>
        <v>0</v>
      </c>
      <c r="W463" s="282">
        <f t="shared" si="46"/>
        <v>0</v>
      </c>
      <c r="X463" s="337">
        <f t="shared" si="47"/>
        <v>0</v>
      </c>
      <c r="Y463" s="244">
        <f t="shared" si="48"/>
        <v>0</v>
      </c>
    </row>
    <row r="464" spans="2:25">
      <c r="B464" s="59" t="s">
        <v>752</v>
      </c>
      <c r="C464" s="10"/>
      <c r="D464" s="3"/>
      <c r="E464" s="483"/>
      <c r="F464" s="35"/>
      <c r="G464" s="35"/>
      <c r="H464" s="51" t="s">
        <v>341</v>
      </c>
      <c r="I464" s="3"/>
      <c r="J464" s="331">
        <f t="shared" si="49"/>
        <v>0</v>
      </c>
      <c r="K464" s="331">
        <f t="shared" si="43"/>
        <v>0</v>
      </c>
      <c r="L464" s="326">
        <f>K464*係数!$I$30</f>
        <v>0</v>
      </c>
      <c r="M464" s="326">
        <f>K464*係数!$C$30*0.0000258</f>
        <v>0</v>
      </c>
      <c r="N464" s="10"/>
      <c r="O464" s="3"/>
      <c r="P464" s="483"/>
      <c r="Q464" s="51" t="s">
        <v>341</v>
      </c>
      <c r="R464" s="3"/>
      <c r="S464" s="329">
        <f t="shared" si="44"/>
        <v>0</v>
      </c>
      <c r="T464" s="327">
        <f t="shared" si="45"/>
        <v>0</v>
      </c>
      <c r="U464" s="326">
        <f>T464*係数!$I$30</f>
        <v>0</v>
      </c>
      <c r="V464" s="326">
        <f>T464*係数!$C$30*0.0000258</f>
        <v>0</v>
      </c>
      <c r="W464" s="282">
        <f t="shared" si="46"/>
        <v>0</v>
      </c>
      <c r="X464" s="337">
        <f t="shared" si="47"/>
        <v>0</v>
      </c>
      <c r="Y464" s="244">
        <f t="shared" si="48"/>
        <v>0</v>
      </c>
    </row>
    <row r="465" spans="2:25">
      <c r="B465" s="59" t="s">
        <v>753</v>
      </c>
      <c r="C465" s="10"/>
      <c r="D465" s="3"/>
      <c r="E465" s="483"/>
      <c r="F465" s="35"/>
      <c r="G465" s="35"/>
      <c r="H465" s="51" t="s">
        <v>341</v>
      </c>
      <c r="I465" s="3"/>
      <c r="J465" s="331">
        <f t="shared" si="49"/>
        <v>0</v>
      </c>
      <c r="K465" s="331">
        <f t="shared" si="43"/>
        <v>0</v>
      </c>
      <c r="L465" s="326">
        <f>K465*係数!$I$30</f>
        <v>0</v>
      </c>
      <c r="M465" s="326">
        <f>K465*係数!$C$30*0.0000258</f>
        <v>0</v>
      </c>
      <c r="N465" s="10"/>
      <c r="O465" s="3"/>
      <c r="P465" s="483"/>
      <c r="Q465" s="51" t="s">
        <v>341</v>
      </c>
      <c r="R465" s="3"/>
      <c r="S465" s="329">
        <f t="shared" si="44"/>
        <v>0</v>
      </c>
      <c r="T465" s="327">
        <f t="shared" si="45"/>
        <v>0</v>
      </c>
      <c r="U465" s="326">
        <f>T465*係数!$I$30</f>
        <v>0</v>
      </c>
      <c r="V465" s="326">
        <f>T465*係数!$C$30*0.0000258</f>
        <v>0</v>
      </c>
      <c r="W465" s="282">
        <f t="shared" si="46"/>
        <v>0</v>
      </c>
      <c r="X465" s="337">
        <f t="shared" si="47"/>
        <v>0</v>
      </c>
      <c r="Y465" s="244">
        <f t="shared" si="48"/>
        <v>0</v>
      </c>
    </row>
    <row r="466" spans="2:25">
      <c r="B466" s="59" t="s">
        <v>754</v>
      </c>
      <c r="C466" s="10"/>
      <c r="D466" s="3"/>
      <c r="E466" s="483"/>
      <c r="F466" s="35"/>
      <c r="G466" s="35"/>
      <c r="H466" s="51" t="s">
        <v>341</v>
      </c>
      <c r="I466" s="3"/>
      <c r="J466" s="331">
        <f t="shared" si="49"/>
        <v>0</v>
      </c>
      <c r="K466" s="331">
        <f t="shared" si="43"/>
        <v>0</v>
      </c>
      <c r="L466" s="326">
        <f>K466*係数!$I$30</f>
        <v>0</v>
      </c>
      <c r="M466" s="326">
        <f>K466*係数!$C$30*0.0000258</f>
        <v>0</v>
      </c>
      <c r="N466" s="10"/>
      <c r="O466" s="3"/>
      <c r="P466" s="483"/>
      <c r="Q466" s="51" t="s">
        <v>341</v>
      </c>
      <c r="R466" s="3"/>
      <c r="S466" s="329">
        <f t="shared" si="44"/>
        <v>0</v>
      </c>
      <c r="T466" s="327">
        <f t="shared" si="45"/>
        <v>0</v>
      </c>
      <c r="U466" s="326">
        <f>T466*係数!$I$30</f>
        <v>0</v>
      </c>
      <c r="V466" s="326">
        <f>T466*係数!$C$30*0.0000258</f>
        <v>0</v>
      </c>
      <c r="W466" s="282">
        <f t="shared" si="46"/>
        <v>0</v>
      </c>
      <c r="X466" s="337">
        <f t="shared" si="47"/>
        <v>0</v>
      </c>
      <c r="Y466" s="244">
        <f t="shared" si="48"/>
        <v>0</v>
      </c>
    </row>
    <row r="467" spans="2:25">
      <c r="B467" s="59" t="s">
        <v>755</v>
      </c>
      <c r="C467" s="10"/>
      <c r="D467" s="3"/>
      <c r="E467" s="483"/>
      <c r="F467" s="35"/>
      <c r="G467" s="35"/>
      <c r="H467" s="51" t="s">
        <v>341</v>
      </c>
      <c r="I467" s="3"/>
      <c r="J467" s="331">
        <f t="shared" si="49"/>
        <v>0</v>
      </c>
      <c r="K467" s="331">
        <f t="shared" si="43"/>
        <v>0</v>
      </c>
      <c r="L467" s="326">
        <f>K467*係数!$I$30</f>
        <v>0</v>
      </c>
      <c r="M467" s="326">
        <f>K467*係数!$C$30*0.0000258</f>
        <v>0</v>
      </c>
      <c r="N467" s="10"/>
      <c r="O467" s="3"/>
      <c r="P467" s="483"/>
      <c r="Q467" s="51" t="s">
        <v>341</v>
      </c>
      <c r="R467" s="3"/>
      <c r="S467" s="329">
        <f t="shared" si="44"/>
        <v>0</v>
      </c>
      <c r="T467" s="327">
        <f t="shared" si="45"/>
        <v>0</v>
      </c>
      <c r="U467" s="326">
        <f>T467*係数!$I$30</f>
        <v>0</v>
      </c>
      <c r="V467" s="326">
        <f>T467*係数!$C$30*0.0000258</f>
        <v>0</v>
      </c>
      <c r="W467" s="282">
        <f t="shared" si="46"/>
        <v>0</v>
      </c>
      <c r="X467" s="337">
        <f t="shared" si="47"/>
        <v>0</v>
      </c>
      <c r="Y467" s="244">
        <f t="shared" si="48"/>
        <v>0</v>
      </c>
    </row>
    <row r="468" spans="2:25">
      <c r="B468" s="59" t="s">
        <v>756</v>
      </c>
      <c r="C468" s="10"/>
      <c r="D468" s="3"/>
      <c r="E468" s="483"/>
      <c r="F468" s="35"/>
      <c r="G468" s="35"/>
      <c r="H468" s="51" t="s">
        <v>341</v>
      </c>
      <c r="I468" s="3"/>
      <c r="J468" s="331">
        <f t="shared" si="49"/>
        <v>0</v>
      </c>
      <c r="K468" s="331">
        <f t="shared" si="43"/>
        <v>0</v>
      </c>
      <c r="L468" s="326">
        <f>K468*係数!$I$30</f>
        <v>0</v>
      </c>
      <c r="M468" s="326">
        <f>K468*係数!$C$30*0.0000258</f>
        <v>0</v>
      </c>
      <c r="N468" s="10"/>
      <c r="O468" s="3"/>
      <c r="P468" s="483"/>
      <c r="Q468" s="51" t="s">
        <v>341</v>
      </c>
      <c r="R468" s="3"/>
      <c r="S468" s="329">
        <f t="shared" si="44"/>
        <v>0</v>
      </c>
      <c r="T468" s="327">
        <f t="shared" si="45"/>
        <v>0</v>
      </c>
      <c r="U468" s="326">
        <f>T468*係数!$I$30</f>
        <v>0</v>
      </c>
      <c r="V468" s="326">
        <f>T468*係数!$C$30*0.0000258</f>
        <v>0</v>
      </c>
      <c r="W468" s="282">
        <f t="shared" si="46"/>
        <v>0</v>
      </c>
      <c r="X468" s="337">
        <f t="shared" si="47"/>
        <v>0</v>
      </c>
      <c r="Y468" s="244">
        <f t="shared" si="48"/>
        <v>0</v>
      </c>
    </row>
    <row r="469" spans="2:25">
      <c r="B469" s="59" t="s">
        <v>757</v>
      </c>
      <c r="C469" s="10"/>
      <c r="D469" s="3"/>
      <c r="E469" s="483"/>
      <c r="F469" s="35"/>
      <c r="G469" s="35"/>
      <c r="H469" s="51" t="s">
        <v>341</v>
      </c>
      <c r="I469" s="3"/>
      <c r="J469" s="331">
        <f t="shared" si="49"/>
        <v>0</v>
      </c>
      <c r="K469" s="331">
        <f t="shared" ref="K469:K520" si="50">E469*D469*J469/1000</f>
        <v>0</v>
      </c>
      <c r="L469" s="326">
        <f>K469*係数!$I$30</f>
        <v>0</v>
      </c>
      <c r="M469" s="326">
        <f>K469*係数!$C$30*0.0000258</f>
        <v>0</v>
      </c>
      <c r="N469" s="10"/>
      <c r="O469" s="3"/>
      <c r="P469" s="483"/>
      <c r="Q469" s="51" t="s">
        <v>341</v>
      </c>
      <c r="R469" s="3"/>
      <c r="S469" s="329">
        <f t="shared" ref="S469:S520" si="51">IF(Q469="○",F469*G469*R469/100,F469*G469)</f>
        <v>0</v>
      </c>
      <c r="T469" s="327">
        <f t="shared" ref="T469:T520" si="52">P469*O469*S469/1000</f>
        <v>0</v>
      </c>
      <c r="U469" s="326">
        <f>T469*係数!$I$30</f>
        <v>0</v>
      </c>
      <c r="V469" s="326">
        <f>T469*係数!$C$30*0.0000258</f>
        <v>0</v>
      </c>
      <c r="W469" s="282">
        <f t="shared" ref="W469:W520" si="53">K469-T469</f>
        <v>0</v>
      </c>
      <c r="X469" s="337">
        <f t="shared" ref="X469:X520" si="54">L469-U469</f>
        <v>0</v>
      </c>
      <c r="Y469" s="244">
        <f t="shared" ref="Y469:Y520" si="55">M469-V469</f>
        <v>0</v>
      </c>
    </row>
    <row r="470" spans="2:25">
      <c r="B470" s="59" t="s">
        <v>758</v>
      </c>
      <c r="C470" s="10"/>
      <c r="D470" s="3"/>
      <c r="E470" s="483"/>
      <c r="F470" s="35"/>
      <c r="G470" s="35"/>
      <c r="H470" s="51" t="s">
        <v>341</v>
      </c>
      <c r="I470" s="3"/>
      <c r="J470" s="331">
        <f t="shared" ref="J470:J520" si="56">IF(H470="○",F470*G470*I470/100,F470*G470)</f>
        <v>0</v>
      </c>
      <c r="K470" s="331">
        <f t="shared" si="50"/>
        <v>0</v>
      </c>
      <c r="L470" s="326">
        <f>K470*係数!$I$30</f>
        <v>0</v>
      </c>
      <c r="M470" s="326">
        <f>K470*係数!$C$30*0.0000258</f>
        <v>0</v>
      </c>
      <c r="N470" s="10"/>
      <c r="O470" s="3"/>
      <c r="P470" s="483"/>
      <c r="Q470" s="51" t="s">
        <v>341</v>
      </c>
      <c r="R470" s="3"/>
      <c r="S470" s="329">
        <f t="shared" si="51"/>
        <v>0</v>
      </c>
      <c r="T470" s="327">
        <f t="shared" si="52"/>
        <v>0</v>
      </c>
      <c r="U470" s="326">
        <f>T470*係数!$I$30</f>
        <v>0</v>
      </c>
      <c r="V470" s="326">
        <f>T470*係数!$C$30*0.0000258</f>
        <v>0</v>
      </c>
      <c r="W470" s="282">
        <f t="shared" si="53"/>
        <v>0</v>
      </c>
      <c r="X470" s="337">
        <f t="shared" si="54"/>
        <v>0</v>
      </c>
      <c r="Y470" s="244">
        <f t="shared" si="55"/>
        <v>0</v>
      </c>
    </row>
    <row r="471" spans="2:25">
      <c r="B471" s="59" t="s">
        <v>759</v>
      </c>
      <c r="C471" s="10"/>
      <c r="D471" s="3"/>
      <c r="E471" s="483"/>
      <c r="F471" s="35"/>
      <c r="G471" s="35"/>
      <c r="H471" s="51" t="s">
        <v>341</v>
      </c>
      <c r="I471" s="3"/>
      <c r="J471" s="331">
        <f t="shared" si="56"/>
        <v>0</v>
      </c>
      <c r="K471" s="331">
        <f t="shared" si="50"/>
        <v>0</v>
      </c>
      <c r="L471" s="326">
        <f>K471*係数!$I$30</f>
        <v>0</v>
      </c>
      <c r="M471" s="326">
        <f>K471*係数!$C$30*0.0000258</f>
        <v>0</v>
      </c>
      <c r="N471" s="10"/>
      <c r="O471" s="3"/>
      <c r="P471" s="483"/>
      <c r="Q471" s="51" t="s">
        <v>341</v>
      </c>
      <c r="R471" s="3"/>
      <c r="S471" s="329">
        <f t="shared" si="51"/>
        <v>0</v>
      </c>
      <c r="T471" s="327">
        <f t="shared" si="52"/>
        <v>0</v>
      </c>
      <c r="U471" s="326">
        <f>T471*係数!$I$30</f>
        <v>0</v>
      </c>
      <c r="V471" s="326">
        <f>T471*係数!$C$30*0.0000258</f>
        <v>0</v>
      </c>
      <c r="W471" s="282">
        <f t="shared" si="53"/>
        <v>0</v>
      </c>
      <c r="X471" s="337">
        <f t="shared" si="54"/>
        <v>0</v>
      </c>
      <c r="Y471" s="244">
        <f t="shared" si="55"/>
        <v>0</v>
      </c>
    </row>
    <row r="472" spans="2:25">
      <c r="B472" s="59" t="s">
        <v>760</v>
      </c>
      <c r="C472" s="10"/>
      <c r="D472" s="3"/>
      <c r="E472" s="483"/>
      <c r="F472" s="35"/>
      <c r="G472" s="35"/>
      <c r="H472" s="51" t="s">
        <v>341</v>
      </c>
      <c r="I472" s="3"/>
      <c r="J472" s="331">
        <f t="shared" si="56"/>
        <v>0</v>
      </c>
      <c r="K472" s="331">
        <f t="shared" si="50"/>
        <v>0</v>
      </c>
      <c r="L472" s="326">
        <f>K472*係数!$I$30</f>
        <v>0</v>
      </c>
      <c r="M472" s="326">
        <f>K472*係数!$C$30*0.0000258</f>
        <v>0</v>
      </c>
      <c r="N472" s="10"/>
      <c r="O472" s="3"/>
      <c r="P472" s="483"/>
      <c r="Q472" s="51" t="s">
        <v>341</v>
      </c>
      <c r="R472" s="3"/>
      <c r="S472" s="329">
        <f t="shared" si="51"/>
        <v>0</v>
      </c>
      <c r="T472" s="327">
        <f t="shared" si="52"/>
        <v>0</v>
      </c>
      <c r="U472" s="326">
        <f>T472*係数!$I$30</f>
        <v>0</v>
      </c>
      <c r="V472" s="326">
        <f>T472*係数!$C$30*0.0000258</f>
        <v>0</v>
      </c>
      <c r="W472" s="282">
        <f t="shared" si="53"/>
        <v>0</v>
      </c>
      <c r="X472" s="337">
        <f t="shared" si="54"/>
        <v>0</v>
      </c>
      <c r="Y472" s="244">
        <f t="shared" si="55"/>
        <v>0</v>
      </c>
    </row>
    <row r="473" spans="2:25">
      <c r="B473" s="59" t="s">
        <v>761</v>
      </c>
      <c r="C473" s="10"/>
      <c r="D473" s="3"/>
      <c r="E473" s="483"/>
      <c r="F473" s="35"/>
      <c r="G473" s="35"/>
      <c r="H473" s="51" t="s">
        <v>341</v>
      </c>
      <c r="I473" s="3"/>
      <c r="J473" s="331">
        <f t="shared" si="56"/>
        <v>0</v>
      </c>
      <c r="K473" s="331">
        <f t="shared" si="50"/>
        <v>0</v>
      </c>
      <c r="L473" s="326">
        <f>K473*係数!$I$30</f>
        <v>0</v>
      </c>
      <c r="M473" s="326">
        <f>K473*係数!$C$30*0.0000258</f>
        <v>0</v>
      </c>
      <c r="N473" s="10"/>
      <c r="O473" s="3"/>
      <c r="P473" s="483"/>
      <c r="Q473" s="51" t="s">
        <v>341</v>
      </c>
      <c r="R473" s="3"/>
      <c r="S473" s="329">
        <f t="shared" si="51"/>
        <v>0</v>
      </c>
      <c r="T473" s="327">
        <f t="shared" si="52"/>
        <v>0</v>
      </c>
      <c r="U473" s="326">
        <f>T473*係数!$I$30</f>
        <v>0</v>
      </c>
      <c r="V473" s="326">
        <f>T473*係数!$C$30*0.0000258</f>
        <v>0</v>
      </c>
      <c r="W473" s="282">
        <f t="shared" si="53"/>
        <v>0</v>
      </c>
      <c r="X473" s="337">
        <f t="shared" si="54"/>
        <v>0</v>
      </c>
      <c r="Y473" s="244">
        <f t="shared" si="55"/>
        <v>0</v>
      </c>
    </row>
    <row r="474" spans="2:25">
      <c r="B474" s="59" t="s">
        <v>762</v>
      </c>
      <c r="C474" s="10"/>
      <c r="D474" s="3"/>
      <c r="E474" s="483"/>
      <c r="F474" s="35"/>
      <c r="G474" s="35"/>
      <c r="H474" s="51" t="s">
        <v>341</v>
      </c>
      <c r="I474" s="3"/>
      <c r="J474" s="331">
        <f t="shared" si="56"/>
        <v>0</v>
      </c>
      <c r="K474" s="331">
        <f t="shared" si="50"/>
        <v>0</v>
      </c>
      <c r="L474" s="326">
        <f>K474*係数!$I$30</f>
        <v>0</v>
      </c>
      <c r="M474" s="326">
        <f>K474*係数!$C$30*0.0000258</f>
        <v>0</v>
      </c>
      <c r="N474" s="10"/>
      <c r="O474" s="3"/>
      <c r="P474" s="483"/>
      <c r="Q474" s="51" t="s">
        <v>341</v>
      </c>
      <c r="R474" s="3"/>
      <c r="S474" s="329">
        <f t="shared" si="51"/>
        <v>0</v>
      </c>
      <c r="T474" s="327">
        <f t="shared" si="52"/>
        <v>0</v>
      </c>
      <c r="U474" s="326">
        <f>T474*係数!$I$30</f>
        <v>0</v>
      </c>
      <c r="V474" s="326">
        <f>T474*係数!$C$30*0.0000258</f>
        <v>0</v>
      </c>
      <c r="W474" s="282">
        <f t="shared" si="53"/>
        <v>0</v>
      </c>
      <c r="X474" s="337">
        <f t="shared" si="54"/>
        <v>0</v>
      </c>
      <c r="Y474" s="244">
        <f t="shared" si="55"/>
        <v>0</v>
      </c>
    </row>
    <row r="475" spans="2:25">
      <c r="B475" s="59" t="s">
        <v>763</v>
      </c>
      <c r="C475" s="10"/>
      <c r="D475" s="3"/>
      <c r="E475" s="483"/>
      <c r="F475" s="35"/>
      <c r="G475" s="35"/>
      <c r="H475" s="51" t="s">
        <v>341</v>
      </c>
      <c r="I475" s="3"/>
      <c r="J475" s="331">
        <f t="shared" si="56"/>
        <v>0</v>
      </c>
      <c r="K475" s="331">
        <f t="shared" si="50"/>
        <v>0</v>
      </c>
      <c r="L475" s="326">
        <f>K475*係数!$I$30</f>
        <v>0</v>
      </c>
      <c r="M475" s="326">
        <f>K475*係数!$C$30*0.0000258</f>
        <v>0</v>
      </c>
      <c r="N475" s="10"/>
      <c r="O475" s="3"/>
      <c r="P475" s="483"/>
      <c r="Q475" s="51" t="s">
        <v>341</v>
      </c>
      <c r="R475" s="3"/>
      <c r="S475" s="329">
        <f t="shared" si="51"/>
        <v>0</v>
      </c>
      <c r="T475" s="327">
        <f t="shared" si="52"/>
        <v>0</v>
      </c>
      <c r="U475" s="326">
        <f>T475*係数!$I$30</f>
        <v>0</v>
      </c>
      <c r="V475" s="326">
        <f>T475*係数!$C$30*0.0000258</f>
        <v>0</v>
      </c>
      <c r="W475" s="282">
        <f t="shared" si="53"/>
        <v>0</v>
      </c>
      <c r="X475" s="337">
        <f t="shared" si="54"/>
        <v>0</v>
      </c>
      <c r="Y475" s="244">
        <f t="shared" si="55"/>
        <v>0</v>
      </c>
    </row>
    <row r="476" spans="2:25">
      <c r="B476" s="59" t="s">
        <v>764</v>
      </c>
      <c r="C476" s="10"/>
      <c r="D476" s="3"/>
      <c r="E476" s="483"/>
      <c r="F476" s="35"/>
      <c r="G476" s="35"/>
      <c r="H476" s="51" t="s">
        <v>341</v>
      </c>
      <c r="I476" s="3"/>
      <c r="J476" s="331">
        <f t="shared" si="56"/>
        <v>0</v>
      </c>
      <c r="K476" s="331">
        <f t="shared" si="50"/>
        <v>0</v>
      </c>
      <c r="L476" s="326">
        <f>K476*係数!$I$30</f>
        <v>0</v>
      </c>
      <c r="M476" s="326">
        <f>K476*係数!$C$30*0.0000258</f>
        <v>0</v>
      </c>
      <c r="N476" s="10"/>
      <c r="O476" s="3"/>
      <c r="P476" s="483"/>
      <c r="Q476" s="51" t="s">
        <v>341</v>
      </c>
      <c r="R476" s="3"/>
      <c r="S476" s="329">
        <f t="shared" si="51"/>
        <v>0</v>
      </c>
      <c r="T476" s="327">
        <f t="shared" si="52"/>
        <v>0</v>
      </c>
      <c r="U476" s="326">
        <f>T476*係数!$I$30</f>
        <v>0</v>
      </c>
      <c r="V476" s="326">
        <f>T476*係数!$C$30*0.0000258</f>
        <v>0</v>
      </c>
      <c r="W476" s="282">
        <f t="shared" si="53"/>
        <v>0</v>
      </c>
      <c r="X476" s="337">
        <f t="shared" si="54"/>
        <v>0</v>
      </c>
      <c r="Y476" s="244">
        <f t="shared" si="55"/>
        <v>0</v>
      </c>
    </row>
    <row r="477" spans="2:25">
      <c r="B477" s="59" t="s">
        <v>765</v>
      </c>
      <c r="C477" s="10"/>
      <c r="D477" s="3"/>
      <c r="E477" s="483"/>
      <c r="F477" s="35"/>
      <c r="G477" s="35"/>
      <c r="H477" s="51" t="s">
        <v>341</v>
      </c>
      <c r="I477" s="3"/>
      <c r="J477" s="331">
        <f t="shared" si="56"/>
        <v>0</v>
      </c>
      <c r="K477" s="331">
        <f t="shared" si="50"/>
        <v>0</v>
      </c>
      <c r="L477" s="326">
        <f>K477*係数!$I$30</f>
        <v>0</v>
      </c>
      <c r="M477" s="326">
        <f>K477*係数!$C$30*0.0000258</f>
        <v>0</v>
      </c>
      <c r="N477" s="10"/>
      <c r="O477" s="3"/>
      <c r="P477" s="483"/>
      <c r="Q477" s="51" t="s">
        <v>341</v>
      </c>
      <c r="R477" s="3"/>
      <c r="S477" s="329">
        <f t="shared" si="51"/>
        <v>0</v>
      </c>
      <c r="T477" s="327">
        <f t="shared" si="52"/>
        <v>0</v>
      </c>
      <c r="U477" s="326">
        <f>T477*係数!$I$30</f>
        <v>0</v>
      </c>
      <c r="V477" s="326">
        <f>T477*係数!$C$30*0.0000258</f>
        <v>0</v>
      </c>
      <c r="W477" s="282">
        <f t="shared" si="53"/>
        <v>0</v>
      </c>
      <c r="X477" s="337">
        <f t="shared" si="54"/>
        <v>0</v>
      </c>
      <c r="Y477" s="244">
        <f t="shared" si="55"/>
        <v>0</v>
      </c>
    </row>
    <row r="478" spans="2:25">
      <c r="B478" s="59" t="s">
        <v>766</v>
      </c>
      <c r="C478" s="10"/>
      <c r="D478" s="3"/>
      <c r="E478" s="483"/>
      <c r="F478" s="35"/>
      <c r="G478" s="35"/>
      <c r="H478" s="51" t="s">
        <v>341</v>
      </c>
      <c r="I478" s="3"/>
      <c r="J478" s="331">
        <f t="shared" si="56"/>
        <v>0</v>
      </c>
      <c r="K478" s="331">
        <f t="shared" si="50"/>
        <v>0</v>
      </c>
      <c r="L478" s="326">
        <f>K478*係数!$I$30</f>
        <v>0</v>
      </c>
      <c r="M478" s="326">
        <f>K478*係数!$C$30*0.0000258</f>
        <v>0</v>
      </c>
      <c r="N478" s="10"/>
      <c r="O478" s="3"/>
      <c r="P478" s="483"/>
      <c r="Q478" s="51" t="s">
        <v>341</v>
      </c>
      <c r="R478" s="3"/>
      <c r="S478" s="329">
        <f t="shared" si="51"/>
        <v>0</v>
      </c>
      <c r="T478" s="327">
        <f t="shared" si="52"/>
        <v>0</v>
      </c>
      <c r="U478" s="326">
        <f>T478*係数!$I$30</f>
        <v>0</v>
      </c>
      <c r="V478" s="326">
        <f>T478*係数!$C$30*0.0000258</f>
        <v>0</v>
      </c>
      <c r="W478" s="282">
        <f t="shared" si="53"/>
        <v>0</v>
      </c>
      <c r="X478" s="337">
        <f t="shared" si="54"/>
        <v>0</v>
      </c>
      <c r="Y478" s="244">
        <f t="shared" si="55"/>
        <v>0</v>
      </c>
    </row>
    <row r="479" spans="2:25">
      <c r="B479" s="59" t="s">
        <v>767</v>
      </c>
      <c r="C479" s="10"/>
      <c r="D479" s="3"/>
      <c r="E479" s="483"/>
      <c r="F479" s="35"/>
      <c r="G479" s="35"/>
      <c r="H479" s="51" t="s">
        <v>341</v>
      </c>
      <c r="I479" s="3"/>
      <c r="J479" s="331">
        <f t="shared" si="56"/>
        <v>0</v>
      </c>
      <c r="K479" s="331">
        <f t="shared" si="50"/>
        <v>0</v>
      </c>
      <c r="L479" s="326">
        <f>K479*係数!$I$30</f>
        <v>0</v>
      </c>
      <c r="M479" s="326">
        <f>K479*係数!$C$30*0.0000258</f>
        <v>0</v>
      </c>
      <c r="N479" s="10"/>
      <c r="O479" s="3"/>
      <c r="P479" s="483"/>
      <c r="Q479" s="51" t="s">
        <v>341</v>
      </c>
      <c r="R479" s="3"/>
      <c r="S479" s="329">
        <f t="shared" si="51"/>
        <v>0</v>
      </c>
      <c r="T479" s="327">
        <f t="shared" si="52"/>
        <v>0</v>
      </c>
      <c r="U479" s="326">
        <f>T479*係数!$I$30</f>
        <v>0</v>
      </c>
      <c r="V479" s="326">
        <f>T479*係数!$C$30*0.0000258</f>
        <v>0</v>
      </c>
      <c r="W479" s="282">
        <f t="shared" si="53"/>
        <v>0</v>
      </c>
      <c r="X479" s="337">
        <f t="shared" si="54"/>
        <v>0</v>
      </c>
      <c r="Y479" s="244">
        <f t="shared" si="55"/>
        <v>0</v>
      </c>
    </row>
    <row r="480" spans="2:25">
      <c r="B480" s="59" t="s">
        <v>768</v>
      </c>
      <c r="C480" s="10"/>
      <c r="D480" s="3"/>
      <c r="E480" s="483"/>
      <c r="F480" s="35"/>
      <c r="G480" s="35"/>
      <c r="H480" s="51" t="s">
        <v>341</v>
      </c>
      <c r="I480" s="3"/>
      <c r="J480" s="331">
        <f t="shared" si="56"/>
        <v>0</v>
      </c>
      <c r="K480" s="331">
        <f t="shared" si="50"/>
        <v>0</v>
      </c>
      <c r="L480" s="326">
        <f>K480*係数!$I$30</f>
        <v>0</v>
      </c>
      <c r="M480" s="326">
        <f>K480*係数!$C$30*0.0000258</f>
        <v>0</v>
      </c>
      <c r="N480" s="10"/>
      <c r="O480" s="3"/>
      <c r="P480" s="483"/>
      <c r="Q480" s="51" t="s">
        <v>341</v>
      </c>
      <c r="R480" s="3"/>
      <c r="S480" s="329">
        <f t="shared" si="51"/>
        <v>0</v>
      </c>
      <c r="T480" s="327">
        <f t="shared" si="52"/>
        <v>0</v>
      </c>
      <c r="U480" s="326">
        <f>T480*係数!$I$30</f>
        <v>0</v>
      </c>
      <c r="V480" s="326">
        <f>T480*係数!$C$30*0.0000258</f>
        <v>0</v>
      </c>
      <c r="W480" s="282">
        <f t="shared" si="53"/>
        <v>0</v>
      </c>
      <c r="X480" s="337">
        <f t="shared" si="54"/>
        <v>0</v>
      </c>
      <c r="Y480" s="244">
        <f t="shared" si="55"/>
        <v>0</v>
      </c>
    </row>
    <row r="481" spans="2:25">
      <c r="B481" s="59" t="s">
        <v>769</v>
      </c>
      <c r="C481" s="10"/>
      <c r="D481" s="3"/>
      <c r="E481" s="483"/>
      <c r="F481" s="35"/>
      <c r="G481" s="35"/>
      <c r="H481" s="51" t="s">
        <v>341</v>
      </c>
      <c r="I481" s="3"/>
      <c r="J481" s="331">
        <f t="shared" si="56"/>
        <v>0</v>
      </c>
      <c r="K481" s="331">
        <f t="shared" si="50"/>
        <v>0</v>
      </c>
      <c r="L481" s="326">
        <f>K481*係数!$I$30</f>
        <v>0</v>
      </c>
      <c r="M481" s="326">
        <f>K481*係数!$C$30*0.0000258</f>
        <v>0</v>
      </c>
      <c r="N481" s="10"/>
      <c r="O481" s="3"/>
      <c r="P481" s="483"/>
      <c r="Q481" s="51" t="s">
        <v>341</v>
      </c>
      <c r="R481" s="3"/>
      <c r="S481" s="329">
        <f t="shared" si="51"/>
        <v>0</v>
      </c>
      <c r="T481" s="327">
        <f t="shared" si="52"/>
        <v>0</v>
      </c>
      <c r="U481" s="326">
        <f>T481*係数!$I$30</f>
        <v>0</v>
      </c>
      <c r="V481" s="326">
        <f>T481*係数!$C$30*0.0000258</f>
        <v>0</v>
      </c>
      <c r="W481" s="282">
        <f t="shared" si="53"/>
        <v>0</v>
      </c>
      <c r="X481" s="337">
        <f t="shared" si="54"/>
        <v>0</v>
      </c>
      <c r="Y481" s="244">
        <f t="shared" si="55"/>
        <v>0</v>
      </c>
    </row>
    <row r="482" spans="2:25">
      <c r="B482" s="59" t="s">
        <v>770</v>
      </c>
      <c r="C482" s="10"/>
      <c r="D482" s="3"/>
      <c r="E482" s="483"/>
      <c r="F482" s="35"/>
      <c r="G482" s="35"/>
      <c r="H482" s="51" t="s">
        <v>341</v>
      </c>
      <c r="I482" s="3"/>
      <c r="J482" s="331">
        <f t="shared" si="56"/>
        <v>0</v>
      </c>
      <c r="K482" s="331">
        <f t="shared" si="50"/>
        <v>0</v>
      </c>
      <c r="L482" s="326">
        <f>K482*係数!$I$30</f>
        <v>0</v>
      </c>
      <c r="M482" s="326">
        <f>K482*係数!$C$30*0.0000258</f>
        <v>0</v>
      </c>
      <c r="N482" s="10"/>
      <c r="O482" s="3"/>
      <c r="P482" s="483"/>
      <c r="Q482" s="51" t="s">
        <v>341</v>
      </c>
      <c r="R482" s="3"/>
      <c r="S482" s="329">
        <f t="shared" si="51"/>
        <v>0</v>
      </c>
      <c r="T482" s="327">
        <f t="shared" si="52"/>
        <v>0</v>
      </c>
      <c r="U482" s="326">
        <f>T482*係数!$I$30</f>
        <v>0</v>
      </c>
      <c r="V482" s="326">
        <f>T482*係数!$C$30*0.0000258</f>
        <v>0</v>
      </c>
      <c r="W482" s="282">
        <f t="shared" si="53"/>
        <v>0</v>
      </c>
      <c r="X482" s="337">
        <f t="shared" si="54"/>
        <v>0</v>
      </c>
      <c r="Y482" s="244">
        <f t="shared" si="55"/>
        <v>0</v>
      </c>
    </row>
    <row r="483" spans="2:25">
      <c r="B483" s="59" t="s">
        <v>771</v>
      </c>
      <c r="C483" s="10"/>
      <c r="D483" s="3"/>
      <c r="E483" s="483"/>
      <c r="F483" s="35"/>
      <c r="G483" s="35"/>
      <c r="H483" s="51" t="s">
        <v>341</v>
      </c>
      <c r="I483" s="3"/>
      <c r="J483" s="331">
        <f t="shared" si="56"/>
        <v>0</v>
      </c>
      <c r="K483" s="331">
        <f t="shared" si="50"/>
        <v>0</v>
      </c>
      <c r="L483" s="326">
        <f>K483*係数!$I$30</f>
        <v>0</v>
      </c>
      <c r="M483" s="326">
        <f>K483*係数!$C$30*0.0000258</f>
        <v>0</v>
      </c>
      <c r="N483" s="10"/>
      <c r="O483" s="3"/>
      <c r="P483" s="483"/>
      <c r="Q483" s="51" t="s">
        <v>341</v>
      </c>
      <c r="R483" s="3"/>
      <c r="S483" s="329">
        <f t="shared" si="51"/>
        <v>0</v>
      </c>
      <c r="T483" s="327">
        <f t="shared" si="52"/>
        <v>0</v>
      </c>
      <c r="U483" s="326">
        <f>T483*係数!$I$30</f>
        <v>0</v>
      </c>
      <c r="V483" s="326">
        <f>T483*係数!$C$30*0.0000258</f>
        <v>0</v>
      </c>
      <c r="W483" s="282">
        <f t="shared" si="53"/>
        <v>0</v>
      </c>
      <c r="X483" s="337">
        <f t="shared" si="54"/>
        <v>0</v>
      </c>
      <c r="Y483" s="244">
        <f t="shared" si="55"/>
        <v>0</v>
      </c>
    </row>
    <row r="484" spans="2:25">
      <c r="B484" s="59" t="s">
        <v>772</v>
      </c>
      <c r="C484" s="10"/>
      <c r="D484" s="3"/>
      <c r="E484" s="483"/>
      <c r="F484" s="35"/>
      <c r="G484" s="35"/>
      <c r="H484" s="51" t="s">
        <v>341</v>
      </c>
      <c r="I484" s="3"/>
      <c r="J484" s="331">
        <f t="shared" si="56"/>
        <v>0</v>
      </c>
      <c r="K484" s="331">
        <f t="shared" si="50"/>
        <v>0</v>
      </c>
      <c r="L484" s="326">
        <f>K484*係数!$I$30</f>
        <v>0</v>
      </c>
      <c r="M484" s="326">
        <f>K484*係数!$C$30*0.0000258</f>
        <v>0</v>
      </c>
      <c r="N484" s="10"/>
      <c r="O484" s="3"/>
      <c r="P484" s="483"/>
      <c r="Q484" s="51" t="s">
        <v>341</v>
      </c>
      <c r="R484" s="3"/>
      <c r="S484" s="329">
        <f t="shared" si="51"/>
        <v>0</v>
      </c>
      <c r="T484" s="327">
        <f t="shared" si="52"/>
        <v>0</v>
      </c>
      <c r="U484" s="326">
        <f>T484*係数!$I$30</f>
        <v>0</v>
      </c>
      <c r="V484" s="326">
        <f>T484*係数!$C$30*0.0000258</f>
        <v>0</v>
      </c>
      <c r="W484" s="282">
        <f t="shared" si="53"/>
        <v>0</v>
      </c>
      <c r="X484" s="337">
        <f t="shared" si="54"/>
        <v>0</v>
      </c>
      <c r="Y484" s="244">
        <f t="shared" si="55"/>
        <v>0</v>
      </c>
    </row>
    <row r="485" spans="2:25">
      <c r="B485" s="59" t="s">
        <v>773</v>
      </c>
      <c r="C485" s="10"/>
      <c r="D485" s="3"/>
      <c r="E485" s="483"/>
      <c r="F485" s="35"/>
      <c r="G485" s="35"/>
      <c r="H485" s="51" t="s">
        <v>341</v>
      </c>
      <c r="I485" s="3"/>
      <c r="J485" s="331">
        <f t="shared" si="56"/>
        <v>0</v>
      </c>
      <c r="K485" s="331">
        <f t="shared" si="50"/>
        <v>0</v>
      </c>
      <c r="L485" s="326">
        <f>K485*係数!$I$30</f>
        <v>0</v>
      </c>
      <c r="M485" s="326">
        <f>K485*係数!$C$30*0.0000258</f>
        <v>0</v>
      </c>
      <c r="N485" s="10"/>
      <c r="O485" s="3"/>
      <c r="P485" s="483"/>
      <c r="Q485" s="51" t="s">
        <v>341</v>
      </c>
      <c r="R485" s="3"/>
      <c r="S485" s="329">
        <f t="shared" si="51"/>
        <v>0</v>
      </c>
      <c r="T485" s="327">
        <f t="shared" si="52"/>
        <v>0</v>
      </c>
      <c r="U485" s="326">
        <f>T485*係数!$I$30</f>
        <v>0</v>
      </c>
      <c r="V485" s="326">
        <f>T485*係数!$C$30*0.0000258</f>
        <v>0</v>
      </c>
      <c r="W485" s="282">
        <f t="shared" si="53"/>
        <v>0</v>
      </c>
      <c r="X485" s="337">
        <f t="shared" si="54"/>
        <v>0</v>
      </c>
      <c r="Y485" s="244">
        <f t="shared" si="55"/>
        <v>0</v>
      </c>
    </row>
    <row r="486" spans="2:25">
      <c r="B486" s="59" t="s">
        <v>774</v>
      </c>
      <c r="C486" s="10"/>
      <c r="D486" s="3"/>
      <c r="E486" s="483"/>
      <c r="F486" s="35"/>
      <c r="G486" s="35"/>
      <c r="H486" s="51" t="s">
        <v>341</v>
      </c>
      <c r="I486" s="3"/>
      <c r="J486" s="331">
        <f t="shared" si="56"/>
        <v>0</v>
      </c>
      <c r="K486" s="331">
        <f t="shared" si="50"/>
        <v>0</v>
      </c>
      <c r="L486" s="326">
        <f>K486*係数!$I$30</f>
        <v>0</v>
      </c>
      <c r="M486" s="326">
        <f>K486*係数!$C$30*0.0000258</f>
        <v>0</v>
      </c>
      <c r="N486" s="10"/>
      <c r="O486" s="3"/>
      <c r="P486" s="483"/>
      <c r="Q486" s="51" t="s">
        <v>341</v>
      </c>
      <c r="R486" s="3"/>
      <c r="S486" s="329">
        <f t="shared" si="51"/>
        <v>0</v>
      </c>
      <c r="T486" s="327">
        <f t="shared" si="52"/>
        <v>0</v>
      </c>
      <c r="U486" s="326">
        <f>T486*係数!$I$30</f>
        <v>0</v>
      </c>
      <c r="V486" s="326">
        <f>T486*係数!$C$30*0.0000258</f>
        <v>0</v>
      </c>
      <c r="W486" s="282">
        <f t="shared" si="53"/>
        <v>0</v>
      </c>
      <c r="X486" s="337">
        <f t="shared" si="54"/>
        <v>0</v>
      </c>
      <c r="Y486" s="244">
        <f t="shared" si="55"/>
        <v>0</v>
      </c>
    </row>
    <row r="487" spans="2:25">
      <c r="B487" s="59" t="s">
        <v>775</v>
      </c>
      <c r="C487" s="10"/>
      <c r="D487" s="3"/>
      <c r="E487" s="483"/>
      <c r="F487" s="35"/>
      <c r="G487" s="35"/>
      <c r="H487" s="51" t="s">
        <v>341</v>
      </c>
      <c r="I487" s="3"/>
      <c r="J487" s="331">
        <f t="shared" si="56"/>
        <v>0</v>
      </c>
      <c r="K487" s="331">
        <f t="shared" si="50"/>
        <v>0</v>
      </c>
      <c r="L487" s="326">
        <f>K487*係数!$I$30</f>
        <v>0</v>
      </c>
      <c r="M487" s="326">
        <f>K487*係数!$C$30*0.0000258</f>
        <v>0</v>
      </c>
      <c r="N487" s="10"/>
      <c r="O487" s="3"/>
      <c r="P487" s="483"/>
      <c r="Q487" s="51" t="s">
        <v>341</v>
      </c>
      <c r="R487" s="3"/>
      <c r="S487" s="329">
        <f t="shared" si="51"/>
        <v>0</v>
      </c>
      <c r="T487" s="327">
        <f t="shared" si="52"/>
        <v>0</v>
      </c>
      <c r="U487" s="326">
        <f>T487*係数!$I$30</f>
        <v>0</v>
      </c>
      <c r="V487" s="326">
        <f>T487*係数!$C$30*0.0000258</f>
        <v>0</v>
      </c>
      <c r="W487" s="282">
        <f t="shared" si="53"/>
        <v>0</v>
      </c>
      <c r="X487" s="337">
        <f t="shared" si="54"/>
        <v>0</v>
      </c>
      <c r="Y487" s="244">
        <f t="shared" si="55"/>
        <v>0</v>
      </c>
    </row>
    <row r="488" spans="2:25">
      <c r="B488" s="59" t="s">
        <v>776</v>
      </c>
      <c r="C488" s="10"/>
      <c r="D488" s="3"/>
      <c r="E488" s="483"/>
      <c r="F488" s="35"/>
      <c r="G488" s="35"/>
      <c r="H488" s="51" t="s">
        <v>341</v>
      </c>
      <c r="I488" s="3"/>
      <c r="J488" s="331">
        <f t="shared" si="56"/>
        <v>0</v>
      </c>
      <c r="K488" s="331">
        <f t="shared" si="50"/>
        <v>0</v>
      </c>
      <c r="L488" s="326">
        <f>K488*係数!$I$30</f>
        <v>0</v>
      </c>
      <c r="M488" s="326">
        <f>K488*係数!$C$30*0.0000258</f>
        <v>0</v>
      </c>
      <c r="N488" s="10"/>
      <c r="O488" s="3"/>
      <c r="P488" s="483"/>
      <c r="Q488" s="51" t="s">
        <v>341</v>
      </c>
      <c r="R488" s="3"/>
      <c r="S488" s="329">
        <f t="shared" si="51"/>
        <v>0</v>
      </c>
      <c r="T488" s="327">
        <f t="shared" si="52"/>
        <v>0</v>
      </c>
      <c r="U488" s="326">
        <f>T488*係数!$I$30</f>
        <v>0</v>
      </c>
      <c r="V488" s="326">
        <f>T488*係数!$C$30*0.0000258</f>
        <v>0</v>
      </c>
      <c r="W488" s="282">
        <f t="shared" si="53"/>
        <v>0</v>
      </c>
      <c r="X488" s="337">
        <f t="shared" si="54"/>
        <v>0</v>
      </c>
      <c r="Y488" s="244">
        <f t="shared" si="55"/>
        <v>0</v>
      </c>
    </row>
    <row r="489" spans="2:25">
      <c r="B489" s="59" t="s">
        <v>777</v>
      </c>
      <c r="C489" s="10"/>
      <c r="D489" s="3"/>
      <c r="E489" s="483"/>
      <c r="F489" s="35"/>
      <c r="G489" s="35"/>
      <c r="H489" s="51" t="s">
        <v>341</v>
      </c>
      <c r="I489" s="3"/>
      <c r="J489" s="331">
        <f t="shared" si="56"/>
        <v>0</v>
      </c>
      <c r="K489" s="331">
        <f t="shared" si="50"/>
        <v>0</v>
      </c>
      <c r="L489" s="326">
        <f>K489*係数!$I$30</f>
        <v>0</v>
      </c>
      <c r="M489" s="326">
        <f>K489*係数!$C$30*0.0000258</f>
        <v>0</v>
      </c>
      <c r="N489" s="10"/>
      <c r="O489" s="3"/>
      <c r="P489" s="483"/>
      <c r="Q489" s="51" t="s">
        <v>341</v>
      </c>
      <c r="R489" s="3"/>
      <c r="S489" s="329">
        <f t="shared" si="51"/>
        <v>0</v>
      </c>
      <c r="T489" s="327">
        <f t="shared" si="52"/>
        <v>0</v>
      </c>
      <c r="U489" s="326">
        <f>T489*係数!$I$30</f>
        <v>0</v>
      </c>
      <c r="V489" s="326">
        <f>T489*係数!$C$30*0.0000258</f>
        <v>0</v>
      </c>
      <c r="W489" s="282">
        <f t="shared" si="53"/>
        <v>0</v>
      </c>
      <c r="X489" s="337">
        <f t="shared" si="54"/>
        <v>0</v>
      </c>
      <c r="Y489" s="244">
        <f t="shared" si="55"/>
        <v>0</v>
      </c>
    </row>
    <row r="490" spans="2:25">
      <c r="B490" s="59" t="s">
        <v>778</v>
      </c>
      <c r="C490" s="10"/>
      <c r="D490" s="3"/>
      <c r="E490" s="483"/>
      <c r="F490" s="35"/>
      <c r="G490" s="35"/>
      <c r="H490" s="51" t="s">
        <v>341</v>
      </c>
      <c r="I490" s="3"/>
      <c r="J490" s="331">
        <f t="shared" si="56"/>
        <v>0</v>
      </c>
      <c r="K490" s="331">
        <f t="shared" si="50"/>
        <v>0</v>
      </c>
      <c r="L490" s="326">
        <f>K490*係数!$I$30</f>
        <v>0</v>
      </c>
      <c r="M490" s="326">
        <f>K490*係数!$C$30*0.0000258</f>
        <v>0</v>
      </c>
      <c r="N490" s="10"/>
      <c r="O490" s="3"/>
      <c r="P490" s="483"/>
      <c r="Q490" s="51" t="s">
        <v>341</v>
      </c>
      <c r="R490" s="3"/>
      <c r="S490" s="329">
        <f t="shared" si="51"/>
        <v>0</v>
      </c>
      <c r="T490" s="327">
        <f t="shared" si="52"/>
        <v>0</v>
      </c>
      <c r="U490" s="326">
        <f>T490*係数!$I$30</f>
        <v>0</v>
      </c>
      <c r="V490" s="326">
        <f>T490*係数!$C$30*0.0000258</f>
        <v>0</v>
      </c>
      <c r="W490" s="282">
        <f t="shared" si="53"/>
        <v>0</v>
      </c>
      <c r="X490" s="337">
        <f t="shared" si="54"/>
        <v>0</v>
      </c>
      <c r="Y490" s="244">
        <f t="shared" si="55"/>
        <v>0</v>
      </c>
    </row>
    <row r="491" spans="2:25">
      <c r="B491" s="59" t="s">
        <v>779</v>
      </c>
      <c r="C491" s="10"/>
      <c r="D491" s="3"/>
      <c r="E491" s="483"/>
      <c r="F491" s="35"/>
      <c r="G491" s="35"/>
      <c r="H491" s="51" t="s">
        <v>341</v>
      </c>
      <c r="I491" s="3"/>
      <c r="J491" s="331">
        <f t="shared" si="56"/>
        <v>0</v>
      </c>
      <c r="K491" s="331">
        <f t="shared" si="50"/>
        <v>0</v>
      </c>
      <c r="L491" s="326">
        <f>K491*係数!$I$30</f>
        <v>0</v>
      </c>
      <c r="M491" s="326">
        <f>K491*係数!$C$30*0.0000258</f>
        <v>0</v>
      </c>
      <c r="N491" s="10"/>
      <c r="O491" s="3"/>
      <c r="P491" s="483"/>
      <c r="Q491" s="51" t="s">
        <v>341</v>
      </c>
      <c r="R491" s="3"/>
      <c r="S491" s="329">
        <f t="shared" si="51"/>
        <v>0</v>
      </c>
      <c r="T491" s="327">
        <f t="shared" si="52"/>
        <v>0</v>
      </c>
      <c r="U491" s="326">
        <f>T491*係数!$I$30</f>
        <v>0</v>
      </c>
      <c r="V491" s="326">
        <f>T491*係数!$C$30*0.0000258</f>
        <v>0</v>
      </c>
      <c r="W491" s="282">
        <f t="shared" si="53"/>
        <v>0</v>
      </c>
      <c r="X491" s="337">
        <f t="shared" si="54"/>
        <v>0</v>
      </c>
      <c r="Y491" s="244">
        <f t="shared" si="55"/>
        <v>0</v>
      </c>
    </row>
    <row r="492" spans="2:25">
      <c r="B492" s="59" t="s">
        <v>780</v>
      </c>
      <c r="C492" s="10"/>
      <c r="D492" s="3"/>
      <c r="E492" s="483"/>
      <c r="F492" s="35"/>
      <c r="G492" s="35"/>
      <c r="H492" s="51" t="s">
        <v>341</v>
      </c>
      <c r="I492" s="3"/>
      <c r="J492" s="331">
        <f t="shared" si="56"/>
        <v>0</v>
      </c>
      <c r="K492" s="331">
        <f t="shared" si="50"/>
        <v>0</v>
      </c>
      <c r="L492" s="326">
        <f>K492*係数!$I$30</f>
        <v>0</v>
      </c>
      <c r="M492" s="326">
        <f>K492*係数!$C$30*0.0000258</f>
        <v>0</v>
      </c>
      <c r="N492" s="10"/>
      <c r="O492" s="3"/>
      <c r="P492" s="483"/>
      <c r="Q492" s="51" t="s">
        <v>341</v>
      </c>
      <c r="R492" s="3"/>
      <c r="S492" s="329">
        <f t="shared" si="51"/>
        <v>0</v>
      </c>
      <c r="T492" s="327">
        <f t="shared" si="52"/>
        <v>0</v>
      </c>
      <c r="U492" s="326">
        <f>T492*係数!$I$30</f>
        <v>0</v>
      </c>
      <c r="V492" s="326">
        <f>T492*係数!$C$30*0.0000258</f>
        <v>0</v>
      </c>
      <c r="W492" s="282">
        <f t="shared" si="53"/>
        <v>0</v>
      </c>
      <c r="X492" s="337">
        <f t="shared" si="54"/>
        <v>0</v>
      </c>
      <c r="Y492" s="244">
        <f t="shared" si="55"/>
        <v>0</v>
      </c>
    </row>
    <row r="493" spans="2:25">
      <c r="B493" s="59" t="s">
        <v>781</v>
      </c>
      <c r="C493" s="10"/>
      <c r="D493" s="3"/>
      <c r="E493" s="483"/>
      <c r="F493" s="35"/>
      <c r="G493" s="35"/>
      <c r="H493" s="51" t="s">
        <v>341</v>
      </c>
      <c r="I493" s="3"/>
      <c r="J493" s="331">
        <f t="shared" si="56"/>
        <v>0</v>
      </c>
      <c r="K493" s="331">
        <f t="shared" si="50"/>
        <v>0</v>
      </c>
      <c r="L493" s="326">
        <f>K493*係数!$I$30</f>
        <v>0</v>
      </c>
      <c r="M493" s="326">
        <f>K493*係数!$C$30*0.0000258</f>
        <v>0</v>
      </c>
      <c r="N493" s="10"/>
      <c r="O493" s="3"/>
      <c r="P493" s="483"/>
      <c r="Q493" s="51" t="s">
        <v>341</v>
      </c>
      <c r="R493" s="3"/>
      <c r="S493" s="329">
        <f t="shared" si="51"/>
        <v>0</v>
      </c>
      <c r="T493" s="327">
        <f t="shared" si="52"/>
        <v>0</v>
      </c>
      <c r="U493" s="326">
        <f>T493*係数!$I$30</f>
        <v>0</v>
      </c>
      <c r="V493" s="326">
        <f>T493*係数!$C$30*0.0000258</f>
        <v>0</v>
      </c>
      <c r="W493" s="282">
        <f t="shared" si="53"/>
        <v>0</v>
      </c>
      <c r="X493" s="337">
        <f t="shared" si="54"/>
        <v>0</v>
      </c>
      <c r="Y493" s="244">
        <f t="shared" si="55"/>
        <v>0</v>
      </c>
    </row>
    <row r="494" spans="2:25">
      <c r="B494" s="59" t="s">
        <v>782</v>
      </c>
      <c r="C494" s="10"/>
      <c r="D494" s="3"/>
      <c r="E494" s="483"/>
      <c r="F494" s="35"/>
      <c r="G494" s="35"/>
      <c r="H494" s="51" t="s">
        <v>341</v>
      </c>
      <c r="I494" s="3"/>
      <c r="J494" s="331">
        <f t="shared" si="56"/>
        <v>0</v>
      </c>
      <c r="K494" s="331">
        <f t="shared" si="50"/>
        <v>0</v>
      </c>
      <c r="L494" s="326">
        <f>K494*係数!$I$30</f>
        <v>0</v>
      </c>
      <c r="M494" s="326">
        <f>K494*係数!$C$30*0.0000258</f>
        <v>0</v>
      </c>
      <c r="N494" s="10"/>
      <c r="O494" s="3"/>
      <c r="P494" s="483"/>
      <c r="Q494" s="51" t="s">
        <v>341</v>
      </c>
      <c r="R494" s="3"/>
      <c r="S494" s="329">
        <f t="shared" si="51"/>
        <v>0</v>
      </c>
      <c r="T494" s="327">
        <f t="shared" si="52"/>
        <v>0</v>
      </c>
      <c r="U494" s="326">
        <f>T494*係数!$I$30</f>
        <v>0</v>
      </c>
      <c r="V494" s="326">
        <f>T494*係数!$C$30*0.0000258</f>
        <v>0</v>
      </c>
      <c r="W494" s="282">
        <f t="shared" si="53"/>
        <v>0</v>
      </c>
      <c r="X494" s="337">
        <f t="shared" si="54"/>
        <v>0</v>
      </c>
      <c r="Y494" s="244">
        <f t="shared" si="55"/>
        <v>0</v>
      </c>
    </row>
    <row r="495" spans="2:25">
      <c r="B495" s="59" t="s">
        <v>783</v>
      </c>
      <c r="C495" s="10"/>
      <c r="D495" s="3"/>
      <c r="E495" s="483"/>
      <c r="F495" s="35"/>
      <c r="G495" s="35"/>
      <c r="H495" s="51" t="s">
        <v>341</v>
      </c>
      <c r="I495" s="3"/>
      <c r="J495" s="331">
        <f t="shared" si="56"/>
        <v>0</v>
      </c>
      <c r="K495" s="331">
        <f t="shared" si="50"/>
        <v>0</v>
      </c>
      <c r="L495" s="326">
        <f>K495*係数!$I$30</f>
        <v>0</v>
      </c>
      <c r="M495" s="326">
        <f>K495*係数!$C$30*0.0000258</f>
        <v>0</v>
      </c>
      <c r="N495" s="10"/>
      <c r="O495" s="3"/>
      <c r="P495" s="483"/>
      <c r="Q495" s="51" t="s">
        <v>341</v>
      </c>
      <c r="R495" s="3"/>
      <c r="S495" s="329">
        <f t="shared" si="51"/>
        <v>0</v>
      </c>
      <c r="T495" s="327">
        <f t="shared" si="52"/>
        <v>0</v>
      </c>
      <c r="U495" s="326">
        <f>T495*係数!$I$30</f>
        <v>0</v>
      </c>
      <c r="V495" s="326">
        <f>T495*係数!$C$30*0.0000258</f>
        <v>0</v>
      </c>
      <c r="W495" s="282">
        <f t="shared" si="53"/>
        <v>0</v>
      </c>
      <c r="X495" s="337">
        <f t="shared" si="54"/>
        <v>0</v>
      </c>
      <c r="Y495" s="244">
        <f t="shared" si="55"/>
        <v>0</v>
      </c>
    </row>
    <row r="496" spans="2:25">
      <c r="B496" s="59" t="s">
        <v>784</v>
      </c>
      <c r="C496" s="10"/>
      <c r="D496" s="3"/>
      <c r="E496" s="483"/>
      <c r="F496" s="35"/>
      <c r="G496" s="35"/>
      <c r="H496" s="51" t="s">
        <v>341</v>
      </c>
      <c r="I496" s="3"/>
      <c r="J496" s="331">
        <f t="shared" si="56"/>
        <v>0</v>
      </c>
      <c r="K496" s="331">
        <f t="shared" si="50"/>
        <v>0</v>
      </c>
      <c r="L496" s="326">
        <f>K496*係数!$I$30</f>
        <v>0</v>
      </c>
      <c r="M496" s="326">
        <f>K496*係数!$C$30*0.0000258</f>
        <v>0</v>
      </c>
      <c r="N496" s="10"/>
      <c r="O496" s="3"/>
      <c r="P496" s="483"/>
      <c r="Q496" s="51" t="s">
        <v>341</v>
      </c>
      <c r="R496" s="3"/>
      <c r="S496" s="329">
        <f t="shared" si="51"/>
        <v>0</v>
      </c>
      <c r="T496" s="327">
        <f t="shared" si="52"/>
        <v>0</v>
      </c>
      <c r="U496" s="326">
        <f>T496*係数!$I$30</f>
        <v>0</v>
      </c>
      <c r="V496" s="326">
        <f>T496*係数!$C$30*0.0000258</f>
        <v>0</v>
      </c>
      <c r="W496" s="282">
        <f t="shared" si="53"/>
        <v>0</v>
      </c>
      <c r="X496" s="337">
        <f t="shared" si="54"/>
        <v>0</v>
      </c>
      <c r="Y496" s="244">
        <f t="shared" si="55"/>
        <v>0</v>
      </c>
    </row>
    <row r="497" spans="2:25">
      <c r="B497" s="59" t="s">
        <v>785</v>
      </c>
      <c r="C497" s="10"/>
      <c r="D497" s="3"/>
      <c r="E497" s="483"/>
      <c r="F497" s="35"/>
      <c r="G497" s="35"/>
      <c r="H497" s="51" t="s">
        <v>341</v>
      </c>
      <c r="I497" s="3"/>
      <c r="J497" s="331">
        <f t="shared" si="56"/>
        <v>0</v>
      </c>
      <c r="K497" s="331">
        <f t="shared" si="50"/>
        <v>0</v>
      </c>
      <c r="L497" s="326">
        <f>K497*係数!$I$30</f>
        <v>0</v>
      </c>
      <c r="M497" s="326">
        <f>K497*係数!$C$30*0.0000258</f>
        <v>0</v>
      </c>
      <c r="N497" s="10"/>
      <c r="O497" s="3"/>
      <c r="P497" s="483"/>
      <c r="Q497" s="51" t="s">
        <v>341</v>
      </c>
      <c r="R497" s="3"/>
      <c r="S497" s="329">
        <f t="shared" si="51"/>
        <v>0</v>
      </c>
      <c r="T497" s="327">
        <f t="shared" si="52"/>
        <v>0</v>
      </c>
      <c r="U497" s="326">
        <f>T497*係数!$I$30</f>
        <v>0</v>
      </c>
      <c r="V497" s="326">
        <f>T497*係数!$C$30*0.0000258</f>
        <v>0</v>
      </c>
      <c r="W497" s="282">
        <f t="shared" si="53"/>
        <v>0</v>
      </c>
      <c r="X497" s="337">
        <f t="shared" si="54"/>
        <v>0</v>
      </c>
      <c r="Y497" s="244">
        <f t="shared" si="55"/>
        <v>0</v>
      </c>
    </row>
    <row r="498" spans="2:25">
      <c r="B498" s="59" t="s">
        <v>786</v>
      </c>
      <c r="C498" s="10"/>
      <c r="D498" s="3"/>
      <c r="E498" s="483"/>
      <c r="F498" s="35"/>
      <c r="G498" s="35"/>
      <c r="H498" s="51" t="s">
        <v>341</v>
      </c>
      <c r="I498" s="3"/>
      <c r="J498" s="331">
        <f t="shared" si="56"/>
        <v>0</v>
      </c>
      <c r="K498" s="331">
        <f t="shared" si="50"/>
        <v>0</v>
      </c>
      <c r="L498" s="326">
        <f>K498*係数!$I$30</f>
        <v>0</v>
      </c>
      <c r="M498" s="326">
        <f>K498*係数!$C$30*0.0000258</f>
        <v>0</v>
      </c>
      <c r="N498" s="10"/>
      <c r="O498" s="3"/>
      <c r="P498" s="483"/>
      <c r="Q498" s="51" t="s">
        <v>341</v>
      </c>
      <c r="R498" s="3"/>
      <c r="S498" s="329">
        <f t="shared" si="51"/>
        <v>0</v>
      </c>
      <c r="T498" s="327">
        <f t="shared" si="52"/>
        <v>0</v>
      </c>
      <c r="U498" s="326">
        <f>T498*係数!$I$30</f>
        <v>0</v>
      </c>
      <c r="V498" s="326">
        <f>T498*係数!$C$30*0.0000258</f>
        <v>0</v>
      </c>
      <c r="W498" s="282">
        <f t="shared" si="53"/>
        <v>0</v>
      </c>
      <c r="X498" s="337">
        <f t="shared" si="54"/>
        <v>0</v>
      </c>
      <c r="Y498" s="244">
        <f t="shared" si="55"/>
        <v>0</v>
      </c>
    </row>
    <row r="499" spans="2:25">
      <c r="B499" s="59" t="s">
        <v>787</v>
      </c>
      <c r="C499" s="10"/>
      <c r="D499" s="3"/>
      <c r="E499" s="483"/>
      <c r="F499" s="35"/>
      <c r="G499" s="35"/>
      <c r="H499" s="51" t="s">
        <v>341</v>
      </c>
      <c r="I499" s="3"/>
      <c r="J499" s="331">
        <f t="shared" si="56"/>
        <v>0</v>
      </c>
      <c r="K499" s="331">
        <f t="shared" si="50"/>
        <v>0</v>
      </c>
      <c r="L499" s="326">
        <f>K499*係数!$I$30</f>
        <v>0</v>
      </c>
      <c r="M499" s="326">
        <f>K499*係数!$C$30*0.0000258</f>
        <v>0</v>
      </c>
      <c r="N499" s="10"/>
      <c r="O499" s="3"/>
      <c r="P499" s="483"/>
      <c r="Q499" s="51" t="s">
        <v>341</v>
      </c>
      <c r="R499" s="3"/>
      <c r="S499" s="329">
        <f t="shared" si="51"/>
        <v>0</v>
      </c>
      <c r="T499" s="327">
        <f t="shared" si="52"/>
        <v>0</v>
      </c>
      <c r="U499" s="326">
        <f>T499*係数!$I$30</f>
        <v>0</v>
      </c>
      <c r="V499" s="326">
        <f>T499*係数!$C$30*0.0000258</f>
        <v>0</v>
      </c>
      <c r="W499" s="282">
        <f t="shared" si="53"/>
        <v>0</v>
      </c>
      <c r="X499" s="337">
        <f t="shared" si="54"/>
        <v>0</v>
      </c>
      <c r="Y499" s="244">
        <f t="shared" si="55"/>
        <v>0</v>
      </c>
    </row>
    <row r="500" spans="2:25">
      <c r="B500" s="59" t="s">
        <v>788</v>
      </c>
      <c r="C500" s="10"/>
      <c r="D500" s="3"/>
      <c r="E500" s="483"/>
      <c r="F500" s="35"/>
      <c r="G500" s="35"/>
      <c r="H500" s="51" t="s">
        <v>341</v>
      </c>
      <c r="I500" s="3"/>
      <c r="J500" s="331">
        <f t="shared" si="56"/>
        <v>0</v>
      </c>
      <c r="K500" s="331">
        <f t="shared" si="50"/>
        <v>0</v>
      </c>
      <c r="L500" s="326">
        <f>K500*係数!$I$30</f>
        <v>0</v>
      </c>
      <c r="M500" s="326">
        <f>K500*係数!$C$30*0.0000258</f>
        <v>0</v>
      </c>
      <c r="N500" s="10"/>
      <c r="O500" s="3"/>
      <c r="P500" s="483"/>
      <c r="Q500" s="51" t="s">
        <v>341</v>
      </c>
      <c r="R500" s="3"/>
      <c r="S500" s="329">
        <f t="shared" si="51"/>
        <v>0</v>
      </c>
      <c r="T500" s="327">
        <f t="shared" si="52"/>
        <v>0</v>
      </c>
      <c r="U500" s="326">
        <f>T500*係数!$I$30</f>
        <v>0</v>
      </c>
      <c r="V500" s="326">
        <f>T500*係数!$C$30*0.0000258</f>
        <v>0</v>
      </c>
      <c r="W500" s="282">
        <f t="shared" si="53"/>
        <v>0</v>
      </c>
      <c r="X500" s="337">
        <f t="shared" si="54"/>
        <v>0</v>
      </c>
      <c r="Y500" s="244">
        <f t="shared" si="55"/>
        <v>0</v>
      </c>
    </row>
    <row r="501" spans="2:25">
      <c r="B501" s="59" t="s">
        <v>789</v>
      </c>
      <c r="C501" s="10"/>
      <c r="D501" s="3"/>
      <c r="E501" s="483"/>
      <c r="F501" s="35"/>
      <c r="G501" s="35"/>
      <c r="H501" s="51" t="s">
        <v>341</v>
      </c>
      <c r="I501" s="3"/>
      <c r="J501" s="331">
        <f t="shared" si="56"/>
        <v>0</v>
      </c>
      <c r="K501" s="331">
        <f t="shared" si="50"/>
        <v>0</v>
      </c>
      <c r="L501" s="326">
        <f>K501*係数!$I$30</f>
        <v>0</v>
      </c>
      <c r="M501" s="326">
        <f>K501*係数!$C$30*0.0000258</f>
        <v>0</v>
      </c>
      <c r="N501" s="10"/>
      <c r="O501" s="3"/>
      <c r="P501" s="483"/>
      <c r="Q501" s="51" t="s">
        <v>341</v>
      </c>
      <c r="R501" s="3"/>
      <c r="S501" s="329">
        <f t="shared" si="51"/>
        <v>0</v>
      </c>
      <c r="T501" s="327">
        <f t="shared" si="52"/>
        <v>0</v>
      </c>
      <c r="U501" s="326">
        <f>T501*係数!$I$30</f>
        <v>0</v>
      </c>
      <c r="V501" s="326">
        <f>T501*係数!$C$30*0.0000258</f>
        <v>0</v>
      </c>
      <c r="W501" s="282">
        <f t="shared" si="53"/>
        <v>0</v>
      </c>
      <c r="X501" s="337">
        <f t="shared" si="54"/>
        <v>0</v>
      </c>
      <c r="Y501" s="244">
        <f t="shared" si="55"/>
        <v>0</v>
      </c>
    </row>
    <row r="502" spans="2:25">
      <c r="B502" s="59" t="s">
        <v>790</v>
      </c>
      <c r="C502" s="10"/>
      <c r="D502" s="3"/>
      <c r="E502" s="483"/>
      <c r="F502" s="35"/>
      <c r="G502" s="35"/>
      <c r="H502" s="51" t="s">
        <v>341</v>
      </c>
      <c r="I502" s="3"/>
      <c r="J502" s="331">
        <f t="shared" si="56"/>
        <v>0</v>
      </c>
      <c r="K502" s="331">
        <f t="shared" si="50"/>
        <v>0</v>
      </c>
      <c r="L502" s="326">
        <f>K502*係数!$I$30</f>
        <v>0</v>
      </c>
      <c r="M502" s="326">
        <f>K502*係数!$C$30*0.0000258</f>
        <v>0</v>
      </c>
      <c r="N502" s="10"/>
      <c r="O502" s="3"/>
      <c r="P502" s="483"/>
      <c r="Q502" s="51" t="s">
        <v>341</v>
      </c>
      <c r="R502" s="3"/>
      <c r="S502" s="329">
        <f t="shared" si="51"/>
        <v>0</v>
      </c>
      <c r="T502" s="327">
        <f t="shared" si="52"/>
        <v>0</v>
      </c>
      <c r="U502" s="326">
        <f>T502*係数!$I$30</f>
        <v>0</v>
      </c>
      <c r="V502" s="326">
        <f>T502*係数!$C$30*0.0000258</f>
        <v>0</v>
      </c>
      <c r="W502" s="282">
        <f t="shared" si="53"/>
        <v>0</v>
      </c>
      <c r="X502" s="337">
        <f t="shared" si="54"/>
        <v>0</v>
      </c>
      <c r="Y502" s="244">
        <f t="shared" si="55"/>
        <v>0</v>
      </c>
    </row>
    <row r="503" spans="2:25">
      <c r="B503" s="59" t="s">
        <v>791</v>
      </c>
      <c r="C503" s="10"/>
      <c r="D503" s="3"/>
      <c r="E503" s="483"/>
      <c r="F503" s="35"/>
      <c r="G503" s="35"/>
      <c r="H503" s="51" t="s">
        <v>341</v>
      </c>
      <c r="I503" s="3"/>
      <c r="J503" s="331">
        <f t="shared" si="56"/>
        <v>0</v>
      </c>
      <c r="K503" s="331">
        <f t="shared" si="50"/>
        <v>0</v>
      </c>
      <c r="L503" s="326">
        <f>K503*係数!$I$30</f>
        <v>0</v>
      </c>
      <c r="M503" s="326">
        <f>K503*係数!$C$30*0.0000258</f>
        <v>0</v>
      </c>
      <c r="N503" s="10"/>
      <c r="O503" s="3"/>
      <c r="P503" s="483"/>
      <c r="Q503" s="51" t="s">
        <v>341</v>
      </c>
      <c r="R503" s="3"/>
      <c r="S503" s="329">
        <f t="shared" si="51"/>
        <v>0</v>
      </c>
      <c r="T503" s="327">
        <f t="shared" si="52"/>
        <v>0</v>
      </c>
      <c r="U503" s="326">
        <f>T503*係数!$I$30</f>
        <v>0</v>
      </c>
      <c r="V503" s="326">
        <f>T503*係数!$C$30*0.0000258</f>
        <v>0</v>
      </c>
      <c r="W503" s="282">
        <f t="shared" si="53"/>
        <v>0</v>
      </c>
      <c r="X503" s="337">
        <f t="shared" si="54"/>
        <v>0</v>
      </c>
      <c r="Y503" s="244">
        <f t="shared" si="55"/>
        <v>0</v>
      </c>
    </row>
    <row r="504" spans="2:25">
      <c r="B504" s="59" t="s">
        <v>792</v>
      </c>
      <c r="C504" s="10"/>
      <c r="D504" s="3"/>
      <c r="E504" s="483"/>
      <c r="F504" s="35"/>
      <c r="G504" s="35"/>
      <c r="H504" s="51" t="s">
        <v>341</v>
      </c>
      <c r="I504" s="3"/>
      <c r="J504" s="331">
        <f t="shared" si="56"/>
        <v>0</v>
      </c>
      <c r="K504" s="331">
        <f t="shared" si="50"/>
        <v>0</v>
      </c>
      <c r="L504" s="326">
        <f>K504*係数!$I$30</f>
        <v>0</v>
      </c>
      <c r="M504" s="326">
        <f>K504*係数!$C$30*0.0000258</f>
        <v>0</v>
      </c>
      <c r="N504" s="10"/>
      <c r="O504" s="3"/>
      <c r="P504" s="483"/>
      <c r="Q504" s="51" t="s">
        <v>341</v>
      </c>
      <c r="R504" s="3"/>
      <c r="S504" s="329">
        <f t="shared" si="51"/>
        <v>0</v>
      </c>
      <c r="T504" s="327">
        <f t="shared" si="52"/>
        <v>0</v>
      </c>
      <c r="U504" s="326">
        <f>T504*係数!$I$30</f>
        <v>0</v>
      </c>
      <c r="V504" s="326">
        <f>T504*係数!$C$30*0.0000258</f>
        <v>0</v>
      </c>
      <c r="W504" s="282">
        <f t="shared" si="53"/>
        <v>0</v>
      </c>
      <c r="X504" s="337">
        <f t="shared" si="54"/>
        <v>0</v>
      </c>
      <c r="Y504" s="244">
        <f t="shared" si="55"/>
        <v>0</v>
      </c>
    </row>
    <row r="505" spans="2:25">
      <c r="B505" s="59" t="s">
        <v>793</v>
      </c>
      <c r="C505" s="10"/>
      <c r="D505" s="3"/>
      <c r="E505" s="483"/>
      <c r="F505" s="35"/>
      <c r="G505" s="35"/>
      <c r="H505" s="51" t="s">
        <v>341</v>
      </c>
      <c r="I505" s="3"/>
      <c r="J505" s="331">
        <f t="shared" si="56"/>
        <v>0</v>
      </c>
      <c r="K505" s="331">
        <f t="shared" si="50"/>
        <v>0</v>
      </c>
      <c r="L505" s="326">
        <f>K505*係数!$I$30</f>
        <v>0</v>
      </c>
      <c r="M505" s="326">
        <f>K505*係数!$C$30*0.0000258</f>
        <v>0</v>
      </c>
      <c r="N505" s="10"/>
      <c r="O505" s="3"/>
      <c r="P505" s="483"/>
      <c r="Q505" s="51" t="s">
        <v>341</v>
      </c>
      <c r="R505" s="3"/>
      <c r="S505" s="329">
        <f t="shared" si="51"/>
        <v>0</v>
      </c>
      <c r="T505" s="327">
        <f t="shared" si="52"/>
        <v>0</v>
      </c>
      <c r="U505" s="326">
        <f>T505*係数!$I$30</f>
        <v>0</v>
      </c>
      <c r="V505" s="326">
        <f>T505*係数!$C$30*0.0000258</f>
        <v>0</v>
      </c>
      <c r="W505" s="282">
        <f t="shared" si="53"/>
        <v>0</v>
      </c>
      <c r="X505" s="337">
        <f t="shared" si="54"/>
        <v>0</v>
      </c>
      <c r="Y505" s="244">
        <f t="shared" si="55"/>
        <v>0</v>
      </c>
    </row>
    <row r="506" spans="2:25">
      <c r="B506" s="59" t="s">
        <v>794</v>
      </c>
      <c r="C506" s="10"/>
      <c r="D506" s="3"/>
      <c r="E506" s="483"/>
      <c r="F506" s="35"/>
      <c r="G506" s="35"/>
      <c r="H506" s="51" t="s">
        <v>341</v>
      </c>
      <c r="I506" s="3"/>
      <c r="J506" s="331">
        <f t="shared" si="56"/>
        <v>0</v>
      </c>
      <c r="K506" s="331">
        <f t="shared" si="50"/>
        <v>0</v>
      </c>
      <c r="L506" s="326">
        <f>K506*係数!$I$30</f>
        <v>0</v>
      </c>
      <c r="M506" s="326">
        <f>K506*係数!$C$30*0.0000258</f>
        <v>0</v>
      </c>
      <c r="N506" s="10"/>
      <c r="O506" s="3"/>
      <c r="P506" s="483"/>
      <c r="Q506" s="51" t="s">
        <v>341</v>
      </c>
      <c r="R506" s="3"/>
      <c r="S506" s="329">
        <f t="shared" si="51"/>
        <v>0</v>
      </c>
      <c r="T506" s="327">
        <f t="shared" si="52"/>
        <v>0</v>
      </c>
      <c r="U506" s="326">
        <f>T506*係数!$I$30</f>
        <v>0</v>
      </c>
      <c r="V506" s="326">
        <f>T506*係数!$C$30*0.0000258</f>
        <v>0</v>
      </c>
      <c r="W506" s="282">
        <f t="shared" si="53"/>
        <v>0</v>
      </c>
      <c r="X506" s="337">
        <f t="shared" si="54"/>
        <v>0</v>
      </c>
      <c r="Y506" s="244">
        <f t="shared" si="55"/>
        <v>0</v>
      </c>
    </row>
    <row r="507" spans="2:25">
      <c r="B507" s="59" t="s">
        <v>795</v>
      </c>
      <c r="C507" s="10"/>
      <c r="D507" s="3"/>
      <c r="E507" s="483"/>
      <c r="F507" s="35"/>
      <c r="G507" s="35"/>
      <c r="H507" s="51" t="s">
        <v>341</v>
      </c>
      <c r="I507" s="3"/>
      <c r="J507" s="331">
        <f t="shared" si="56"/>
        <v>0</v>
      </c>
      <c r="K507" s="331">
        <f t="shared" si="50"/>
        <v>0</v>
      </c>
      <c r="L507" s="326">
        <f>K507*係数!$I$30</f>
        <v>0</v>
      </c>
      <c r="M507" s="326">
        <f>K507*係数!$C$30*0.0000258</f>
        <v>0</v>
      </c>
      <c r="N507" s="10"/>
      <c r="O507" s="3"/>
      <c r="P507" s="483"/>
      <c r="Q507" s="51" t="s">
        <v>341</v>
      </c>
      <c r="R507" s="3"/>
      <c r="S507" s="329">
        <f t="shared" si="51"/>
        <v>0</v>
      </c>
      <c r="T507" s="327">
        <f t="shared" si="52"/>
        <v>0</v>
      </c>
      <c r="U507" s="326">
        <f>T507*係数!$I$30</f>
        <v>0</v>
      </c>
      <c r="V507" s="326">
        <f>T507*係数!$C$30*0.0000258</f>
        <v>0</v>
      </c>
      <c r="W507" s="282">
        <f t="shared" si="53"/>
        <v>0</v>
      </c>
      <c r="X507" s="337">
        <f t="shared" si="54"/>
        <v>0</v>
      </c>
      <c r="Y507" s="244">
        <f t="shared" si="55"/>
        <v>0</v>
      </c>
    </row>
    <row r="508" spans="2:25">
      <c r="B508" s="59" t="s">
        <v>796</v>
      </c>
      <c r="C508" s="10"/>
      <c r="D508" s="3"/>
      <c r="E508" s="483"/>
      <c r="F508" s="35"/>
      <c r="G508" s="35"/>
      <c r="H508" s="51" t="s">
        <v>341</v>
      </c>
      <c r="I508" s="3"/>
      <c r="J508" s="331">
        <f t="shared" si="56"/>
        <v>0</v>
      </c>
      <c r="K508" s="331">
        <f t="shared" si="50"/>
        <v>0</v>
      </c>
      <c r="L508" s="326">
        <f>K508*係数!$I$30</f>
        <v>0</v>
      </c>
      <c r="M508" s="326">
        <f>K508*係数!$C$30*0.0000258</f>
        <v>0</v>
      </c>
      <c r="N508" s="10"/>
      <c r="O508" s="3"/>
      <c r="P508" s="483"/>
      <c r="Q508" s="51" t="s">
        <v>341</v>
      </c>
      <c r="R508" s="3"/>
      <c r="S508" s="329">
        <f t="shared" si="51"/>
        <v>0</v>
      </c>
      <c r="T508" s="327">
        <f t="shared" si="52"/>
        <v>0</v>
      </c>
      <c r="U508" s="326">
        <f>T508*係数!$I$30</f>
        <v>0</v>
      </c>
      <c r="V508" s="326">
        <f>T508*係数!$C$30*0.0000258</f>
        <v>0</v>
      </c>
      <c r="W508" s="282">
        <f t="shared" si="53"/>
        <v>0</v>
      </c>
      <c r="X508" s="337">
        <f t="shared" si="54"/>
        <v>0</v>
      </c>
      <c r="Y508" s="244">
        <f t="shared" si="55"/>
        <v>0</v>
      </c>
    </row>
    <row r="509" spans="2:25">
      <c r="B509" s="59" t="s">
        <v>797</v>
      </c>
      <c r="C509" s="10"/>
      <c r="D509" s="3"/>
      <c r="E509" s="483"/>
      <c r="F509" s="35"/>
      <c r="G509" s="35"/>
      <c r="H509" s="51" t="s">
        <v>341</v>
      </c>
      <c r="I509" s="3"/>
      <c r="J509" s="331">
        <f t="shared" si="56"/>
        <v>0</v>
      </c>
      <c r="K509" s="331">
        <f t="shared" si="50"/>
        <v>0</v>
      </c>
      <c r="L509" s="326">
        <f>K509*係数!$I$30</f>
        <v>0</v>
      </c>
      <c r="M509" s="326">
        <f>K509*係数!$C$30*0.0000258</f>
        <v>0</v>
      </c>
      <c r="N509" s="10"/>
      <c r="O509" s="3"/>
      <c r="P509" s="483"/>
      <c r="Q509" s="51" t="s">
        <v>341</v>
      </c>
      <c r="R509" s="3"/>
      <c r="S509" s="329">
        <f t="shared" si="51"/>
        <v>0</v>
      </c>
      <c r="T509" s="327">
        <f t="shared" si="52"/>
        <v>0</v>
      </c>
      <c r="U509" s="326">
        <f>T509*係数!$I$30</f>
        <v>0</v>
      </c>
      <c r="V509" s="326">
        <f>T509*係数!$C$30*0.0000258</f>
        <v>0</v>
      </c>
      <c r="W509" s="282">
        <f t="shared" si="53"/>
        <v>0</v>
      </c>
      <c r="X509" s="337">
        <f t="shared" si="54"/>
        <v>0</v>
      </c>
      <c r="Y509" s="244">
        <f t="shared" si="55"/>
        <v>0</v>
      </c>
    </row>
    <row r="510" spans="2:25">
      <c r="B510" s="59" t="s">
        <v>798</v>
      </c>
      <c r="C510" s="10"/>
      <c r="D510" s="3"/>
      <c r="E510" s="483"/>
      <c r="F510" s="35"/>
      <c r="G510" s="35"/>
      <c r="H510" s="51" t="s">
        <v>341</v>
      </c>
      <c r="I510" s="3"/>
      <c r="J510" s="331">
        <f t="shared" si="56"/>
        <v>0</v>
      </c>
      <c r="K510" s="331">
        <f t="shared" si="50"/>
        <v>0</v>
      </c>
      <c r="L510" s="326">
        <f>K510*係数!$I$30</f>
        <v>0</v>
      </c>
      <c r="M510" s="326">
        <f>K510*係数!$C$30*0.0000258</f>
        <v>0</v>
      </c>
      <c r="N510" s="10"/>
      <c r="O510" s="3"/>
      <c r="P510" s="483"/>
      <c r="Q510" s="51" t="s">
        <v>341</v>
      </c>
      <c r="R510" s="3"/>
      <c r="S510" s="329">
        <f t="shared" si="51"/>
        <v>0</v>
      </c>
      <c r="T510" s="327">
        <f t="shared" si="52"/>
        <v>0</v>
      </c>
      <c r="U510" s="326">
        <f>T510*係数!$I$30</f>
        <v>0</v>
      </c>
      <c r="V510" s="326">
        <f>T510*係数!$C$30*0.0000258</f>
        <v>0</v>
      </c>
      <c r="W510" s="282">
        <f t="shared" si="53"/>
        <v>0</v>
      </c>
      <c r="X510" s="337">
        <f t="shared" si="54"/>
        <v>0</v>
      </c>
      <c r="Y510" s="244">
        <f t="shared" si="55"/>
        <v>0</v>
      </c>
    </row>
    <row r="511" spans="2:25">
      <c r="B511" s="59" t="s">
        <v>799</v>
      </c>
      <c r="C511" s="10"/>
      <c r="D511" s="3"/>
      <c r="E511" s="483"/>
      <c r="F511" s="35"/>
      <c r="G511" s="35"/>
      <c r="H511" s="51" t="s">
        <v>341</v>
      </c>
      <c r="I511" s="3"/>
      <c r="J511" s="331">
        <f t="shared" si="56"/>
        <v>0</v>
      </c>
      <c r="K511" s="331">
        <f t="shared" si="50"/>
        <v>0</v>
      </c>
      <c r="L511" s="326">
        <f>K511*係数!$I$30</f>
        <v>0</v>
      </c>
      <c r="M511" s="326">
        <f>K511*係数!$C$30*0.0000258</f>
        <v>0</v>
      </c>
      <c r="N511" s="10"/>
      <c r="O511" s="3"/>
      <c r="P511" s="483"/>
      <c r="Q511" s="51" t="s">
        <v>341</v>
      </c>
      <c r="R511" s="3"/>
      <c r="S511" s="329">
        <f t="shared" si="51"/>
        <v>0</v>
      </c>
      <c r="T511" s="327">
        <f t="shared" si="52"/>
        <v>0</v>
      </c>
      <c r="U511" s="326">
        <f>T511*係数!$I$30</f>
        <v>0</v>
      </c>
      <c r="V511" s="326">
        <f>T511*係数!$C$30*0.0000258</f>
        <v>0</v>
      </c>
      <c r="W511" s="282">
        <f t="shared" si="53"/>
        <v>0</v>
      </c>
      <c r="X511" s="337">
        <f t="shared" si="54"/>
        <v>0</v>
      </c>
      <c r="Y511" s="244">
        <f t="shared" si="55"/>
        <v>0</v>
      </c>
    </row>
    <row r="512" spans="2:25">
      <c r="B512" s="59" t="s">
        <v>800</v>
      </c>
      <c r="C512" s="10"/>
      <c r="D512" s="3"/>
      <c r="E512" s="483"/>
      <c r="F512" s="35"/>
      <c r="G512" s="35"/>
      <c r="H512" s="51" t="s">
        <v>341</v>
      </c>
      <c r="I512" s="3"/>
      <c r="J512" s="331">
        <f t="shared" si="56"/>
        <v>0</v>
      </c>
      <c r="K512" s="331">
        <f t="shared" si="50"/>
        <v>0</v>
      </c>
      <c r="L512" s="326">
        <f>K512*係数!$I$30</f>
        <v>0</v>
      </c>
      <c r="M512" s="326">
        <f>K512*係数!$C$30*0.0000258</f>
        <v>0</v>
      </c>
      <c r="N512" s="10"/>
      <c r="O512" s="3"/>
      <c r="P512" s="483"/>
      <c r="Q512" s="51" t="s">
        <v>341</v>
      </c>
      <c r="R512" s="3"/>
      <c r="S512" s="329">
        <f t="shared" si="51"/>
        <v>0</v>
      </c>
      <c r="T512" s="327">
        <f t="shared" si="52"/>
        <v>0</v>
      </c>
      <c r="U512" s="326">
        <f>T512*係数!$I$30</f>
        <v>0</v>
      </c>
      <c r="V512" s="326">
        <f>T512*係数!$C$30*0.0000258</f>
        <v>0</v>
      </c>
      <c r="W512" s="282">
        <f t="shared" si="53"/>
        <v>0</v>
      </c>
      <c r="X512" s="337">
        <f t="shared" si="54"/>
        <v>0</v>
      </c>
      <c r="Y512" s="244">
        <f t="shared" si="55"/>
        <v>0</v>
      </c>
    </row>
    <row r="513" spans="1:25">
      <c r="B513" s="59" t="s">
        <v>801</v>
      </c>
      <c r="C513" s="10"/>
      <c r="D513" s="3"/>
      <c r="E513" s="483"/>
      <c r="F513" s="35"/>
      <c r="G513" s="35"/>
      <c r="H513" s="51" t="s">
        <v>341</v>
      </c>
      <c r="I513" s="3"/>
      <c r="J513" s="331">
        <f t="shared" si="56"/>
        <v>0</v>
      </c>
      <c r="K513" s="331">
        <f t="shared" si="50"/>
        <v>0</v>
      </c>
      <c r="L513" s="326">
        <f>K513*係数!$I$30</f>
        <v>0</v>
      </c>
      <c r="M513" s="326">
        <f>K513*係数!$C$30*0.0000258</f>
        <v>0</v>
      </c>
      <c r="N513" s="10"/>
      <c r="O513" s="3"/>
      <c r="P513" s="483"/>
      <c r="Q513" s="51" t="s">
        <v>341</v>
      </c>
      <c r="R513" s="3"/>
      <c r="S513" s="329">
        <f t="shared" si="51"/>
        <v>0</v>
      </c>
      <c r="T513" s="327">
        <f t="shared" si="52"/>
        <v>0</v>
      </c>
      <c r="U513" s="326">
        <f>T513*係数!$I$30</f>
        <v>0</v>
      </c>
      <c r="V513" s="326">
        <f>T513*係数!$C$30*0.0000258</f>
        <v>0</v>
      </c>
      <c r="W513" s="282">
        <f t="shared" si="53"/>
        <v>0</v>
      </c>
      <c r="X513" s="337">
        <f t="shared" si="54"/>
        <v>0</v>
      </c>
      <c r="Y513" s="244">
        <f t="shared" si="55"/>
        <v>0</v>
      </c>
    </row>
    <row r="514" spans="1:25">
      <c r="B514" s="59" t="s">
        <v>802</v>
      </c>
      <c r="C514" s="10"/>
      <c r="D514" s="3"/>
      <c r="E514" s="483"/>
      <c r="F514" s="35"/>
      <c r="G514" s="35"/>
      <c r="H514" s="51" t="s">
        <v>341</v>
      </c>
      <c r="I514" s="3"/>
      <c r="J514" s="331">
        <f t="shared" si="56"/>
        <v>0</v>
      </c>
      <c r="K514" s="331">
        <f t="shared" si="50"/>
        <v>0</v>
      </c>
      <c r="L514" s="326">
        <f>K514*係数!$I$30</f>
        <v>0</v>
      </c>
      <c r="M514" s="326">
        <f>K514*係数!$C$30*0.0000258</f>
        <v>0</v>
      </c>
      <c r="N514" s="10"/>
      <c r="O514" s="3"/>
      <c r="P514" s="483"/>
      <c r="Q514" s="51" t="s">
        <v>341</v>
      </c>
      <c r="R514" s="3"/>
      <c r="S514" s="329">
        <f t="shared" si="51"/>
        <v>0</v>
      </c>
      <c r="T514" s="327">
        <f t="shared" si="52"/>
        <v>0</v>
      </c>
      <c r="U514" s="326">
        <f>T514*係数!$I$30</f>
        <v>0</v>
      </c>
      <c r="V514" s="326">
        <f>T514*係数!$C$30*0.0000258</f>
        <v>0</v>
      </c>
      <c r="W514" s="282">
        <f t="shared" si="53"/>
        <v>0</v>
      </c>
      <c r="X514" s="337">
        <f t="shared" si="54"/>
        <v>0</v>
      </c>
      <c r="Y514" s="244">
        <f t="shared" si="55"/>
        <v>0</v>
      </c>
    </row>
    <row r="515" spans="1:25">
      <c r="B515" s="59" t="s">
        <v>803</v>
      </c>
      <c r="C515" s="10"/>
      <c r="D515" s="3"/>
      <c r="E515" s="483"/>
      <c r="F515" s="35"/>
      <c r="G515" s="35"/>
      <c r="H515" s="51" t="s">
        <v>341</v>
      </c>
      <c r="I515" s="3"/>
      <c r="J515" s="331">
        <f t="shared" si="56"/>
        <v>0</v>
      </c>
      <c r="K515" s="331">
        <f t="shared" si="50"/>
        <v>0</v>
      </c>
      <c r="L515" s="326">
        <f>K515*係数!$I$30</f>
        <v>0</v>
      </c>
      <c r="M515" s="326">
        <f>K515*係数!$C$30*0.0000258</f>
        <v>0</v>
      </c>
      <c r="N515" s="10"/>
      <c r="O515" s="3"/>
      <c r="P515" s="483"/>
      <c r="Q515" s="51" t="s">
        <v>341</v>
      </c>
      <c r="R515" s="3"/>
      <c r="S515" s="329">
        <f t="shared" si="51"/>
        <v>0</v>
      </c>
      <c r="T515" s="327">
        <f t="shared" si="52"/>
        <v>0</v>
      </c>
      <c r="U515" s="326">
        <f>T515*係数!$I$30</f>
        <v>0</v>
      </c>
      <c r="V515" s="326">
        <f>T515*係数!$C$30*0.0000258</f>
        <v>0</v>
      </c>
      <c r="W515" s="282">
        <f t="shared" si="53"/>
        <v>0</v>
      </c>
      <c r="X515" s="337">
        <f t="shared" si="54"/>
        <v>0</v>
      </c>
      <c r="Y515" s="244">
        <f t="shared" si="55"/>
        <v>0</v>
      </c>
    </row>
    <row r="516" spans="1:25">
      <c r="B516" s="59" t="s">
        <v>804</v>
      </c>
      <c r="C516" s="10"/>
      <c r="D516" s="3"/>
      <c r="E516" s="483"/>
      <c r="F516" s="35"/>
      <c r="G516" s="35"/>
      <c r="H516" s="51" t="s">
        <v>341</v>
      </c>
      <c r="I516" s="3"/>
      <c r="J516" s="331">
        <f t="shared" si="56"/>
        <v>0</v>
      </c>
      <c r="K516" s="331">
        <f t="shared" si="50"/>
        <v>0</v>
      </c>
      <c r="L516" s="326">
        <f>K516*係数!$I$30</f>
        <v>0</v>
      </c>
      <c r="M516" s="326">
        <f>K516*係数!$C$30*0.0000258</f>
        <v>0</v>
      </c>
      <c r="N516" s="10"/>
      <c r="O516" s="3"/>
      <c r="P516" s="483"/>
      <c r="Q516" s="51" t="s">
        <v>341</v>
      </c>
      <c r="R516" s="3"/>
      <c r="S516" s="329">
        <f t="shared" si="51"/>
        <v>0</v>
      </c>
      <c r="T516" s="327">
        <f t="shared" si="52"/>
        <v>0</v>
      </c>
      <c r="U516" s="326"/>
      <c r="V516" s="326">
        <f>T516*係数!$C$30*0.0000258</f>
        <v>0</v>
      </c>
      <c r="W516" s="282">
        <f t="shared" si="53"/>
        <v>0</v>
      </c>
      <c r="X516" s="337">
        <f t="shared" si="54"/>
        <v>0</v>
      </c>
      <c r="Y516" s="244">
        <f t="shared" si="55"/>
        <v>0</v>
      </c>
    </row>
    <row r="517" spans="1:25">
      <c r="B517" s="59" t="s">
        <v>805</v>
      </c>
      <c r="C517" s="10"/>
      <c r="D517" s="3"/>
      <c r="E517" s="483"/>
      <c r="F517" s="35"/>
      <c r="G517" s="35"/>
      <c r="H517" s="51" t="s">
        <v>341</v>
      </c>
      <c r="I517" s="3"/>
      <c r="J517" s="331">
        <f t="shared" si="56"/>
        <v>0</v>
      </c>
      <c r="K517" s="331">
        <f t="shared" si="50"/>
        <v>0</v>
      </c>
      <c r="L517" s="326">
        <f>K517*係数!$I$30</f>
        <v>0</v>
      </c>
      <c r="M517" s="326">
        <f>K517*係数!$C$30*0.0000258</f>
        <v>0</v>
      </c>
      <c r="N517" s="10"/>
      <c r="O517" s="3"/>
      <c r="P517" s="483"/>
      <c r="Q517" s="51" t="s">
        <v>341</v>
      </c>
      <c r="R517" s="3"/>
      <c r="S517" s="329">
        <f t="shared" si="51"/>
        <v>0</v>
      </c>
      <c r="T517" s="327">
        <f t="shared" si="52"/>
        <v>0</v>
      </c>
      <c r="U517" s="326">
        <f>T517*係数!$I$30</f>
        <v>0</v>
      </c>
      <c r="V517" s="326"/>
      <c r="W517" s="282">
        <f t="shared" si="53"/>
        <v>0</v>
      </c>
      <c r="X517" s="337">
        <f t="shared" si="54"/>
        <v>0</v>
      </c>
      <c r="Y517" s="244">
        <f t="shared" si="55"/>
        <v>0</v>
      </c>
    </row>
    <row r="518" spans="1:25">
      <c r="B518" s="59" t="s">
        <v>806</v>
      </c>
      <c r="C518" s="10"/>
      <c r="D518" s="3"/>
      <c r="E518" s="483"/>
      <c r="F518" s="35"/>
      <c r="G518" s="35"/>
      <c r="H518" s="51" t="s">
        <v>341</v>
      </c>
      <c r="I518" s="3"/>
      <c r="J518" s="331">
        <f t="shared" si="56"/>
        <v>0</v>
      </c>
      <c r="K518" s="331">
        <f t="shared" si="50"/>
        <v>0</v>
      </c>
      <c r="L518" s="326">
        <f>K518*係数!$I$30</f>
        <v>0</v>
      </c>
      <c r="M518" s="326">
        <f>K518*係数!$C$30*0.0000258</f>
        <v>0</v>
      </c>
      <c r="N518" s="10"/>
      <c r="O518" s="3"/>
      <c r="P518" s="483"/>
      <c r="Q518" s="51" t="s">
        <v>341</v>
      </c>
      <c r="R518" s="3"/>
      <c r="S518" s="329">
        <f t="shared" si="51"/>
        <v>0</v>
      </c>
      <c r="T518" s="327">
        <f t="shared" si="52"/>
        <v>0</v>
      </c>
      <c r="U518" s="326">
        <f>T518*係数!$I$30</f>
        <v>0</v>
      </c>
      <c r="V518" s="326">
        <f>T518*係数!$C$30*0.0000258</f>
        <v>0</v>
      </c>
      <c r="W518" s="282">
        <f t="shared" si="53"/>
        <v>0</v>
      </c>
      <c r="X518" s="337">
        <f t="shared" si="54"/>
        <v>0</v>
      </c>
      <c r="Y518" s="244">
        <f t="shared" si="55"/>
        <v>0</v>
      </c>
    </row>
    <row r="519" spans="1:25">
      <c r="B519" s="59" t="s">
        <v>807</v>
      </c>
      <c r="C519" s="10"/>
      <c r="D519" s="3"/>
      <c r="E519" s="483"/>
      <c r="F519" s="35"/>
      <c r="G519" s="35"/>
      <c r="H519" s="51" t="s">
        <v>341</v>
      </c>
      <c r="I519" s="3"/>
      <c r="J519" s="331">
        <f t="shared" si="56"/>
        <v>0</v>
      </c>
      <c r="K519" s="331">
        <f t="shared" si="50"/>
        <v>0</v>
      </c>
      <c r="L519" s="326">
        <f>K519*係数!$I$30</f>
        <v>0</v>
      </c>
      <c r="M519" s="326">
        <f>K519*係数!$C$30*0.0000258</f>
        <v>0</v>
      </c>
      <c r="N519" s="10"/>
      <c r="O519" s="3"/>
      <c r="P519" s="483"/>
      <c r="Q519" s="51" t="s">
        <v>341</v>
      </c>
      <c r="R519" s="3"/>
      <c r="S519" s="329">
        <f t="shared" si="51"/>
        <v>0</v>
      </c>
      <c r="T519" s="327">
        <f t="shared" si="52"/>
        <v>0</v>
      </c>
      <c r="U519" s="326">
        <f>T519*係数!$I$30</f>
        <v>0</v>
      </c>
      <c r="V519" s="326">
        <f>T519*係数!$C$30*0.0000258</f>
        <v>0</v>
      </c>
      <c r="W519" s="282">
        <f t="shared" si="53"/>
        <v>0</v>
      </c>
      <c r="X519" s="337">
        <f t="shared" si="54"/>
        <v>0</v>
      </c>
      <c r="Y519" s="244">
        <f t="shared" si="55"/>
        <v>0</v>
      </c>
    </row>
    <row r="520" spans="1:25">
      <c r="B520" s="59" t="s">
        <v>808</v>
      </c>
      <c r="C520" s="10"/>
      <c r="D520" s="3"/>
      <c r="E520" s="483"/>
      <c r="F520" s="35"/>
      <c r="G520" s="35"/>
      <c r="H520" s="51" t="s">
        <v>341</v>
      </c>
      <c r="I520" s="3"/>
      <c r="J520" s="331">
        <f t="shared" si="56"/>
        <v>0</v>
      </c>
      <c r="K520" s="331">
        <f t="shared" si="50"/>
        <v>0</v>
      </c>
      <c r="L520" s="326">
        <f>K520*係数!$I$30</f>
        <v>0</v>
      </c>
      <c r="M520" s="326">
        <f>K520*係数!$C$30*0.0000258</f>
        <v>0</v>
      </c>
      <c r="N520" s="10"/>
      <c r="O520" s="3"/>
      <c r="P520" s="483"/>
      <c r="Q520" s="51" t="s">
        <v>341</v>
      </c>
      <c r="R520" s="3"/>
      <c r="S520" s="329">
        <f t="shared" si="51"/>
        <v>0</v>
      </c>
      <c r="T520" s="327">
        <f t="shared" si="52"/>
        <v>0</v>
      </c>
      <c r="U520" s="326">
        <f>T520*係数!$I$30</f>
        <v>0</v>
      </c>
      <c r="V520" s="326">
        <f>T520*係数!$C$30*0.0000258</f>
        <v>0</v>
      </c>
      <c r="W520" s="282">
        <f t="shared" si="53"/>
        <v>0</v>
      </c>
      <c r="X520" s="337">
        <f t="shared" si="54"/>
        <v>0</v>
      </c>
      <c r="Y520" s="244">
        <f t="shared" si="55"/>
        <v>0</v>
      </c>
    </row>
    <row r="521" spans="1:25">
      <c r="C521" s="245"/>
      <c r="E521" s="246"/>
      <c r="F521" s="247"/>
      <c r="G521" s="247"/>
      <c r="H521" s="56"/>
      <c r="J521" s="248"/>
      <c r="K521" s="248"/>
      <c r="L521" s="249"/>
      <c r="M521" s="249"/>
      <c r="N521" s="245"/>
      <c r="P521"/>
      <c r="R521"/>
      <c r="S521" s="250"/>
      <c r="T521" s="251"/>
      <c r="U521" s="249"/>
      <c r="V521" s="249"/>
      <c r="W521" s="251"/>
      <c r="X521" s="252"/>
      <c r="Y521" s="253"/>
    </row>
    <row r="522" spans="1:25" ht="30">
      <c r="A522" s="11" t="s">
        <v>859</v>
      </c>
      <c r="J522" s="110"/>
      <c r="L522" s="74"/>
      <c r="M522" s="74"/>
      <c r="N522" s="74"/>
      <c r="O522" s="74"/>
      <c r="P522" s="210"/>
      <c r="Q522" s="210"/>
      <c r="R522"/>
    </row>
    <row r="523" spans="1:25">
      <c r="C523" s="245"/>
      <c r="E523" s="246"/>
      <c r="F523" s="247"/>
      <c r="G523" s="247"/>
      <c r="H523" s="56"/>
      <c r="J523" s="248"/>
      <c r="K523" s="248"/>
      <c r="L523" s="249"/>
      <c r="M523" s="249"/>
      <c r="N523" s="245"/>
      <c r="P523"/>
      <c r="R523"/>
      <c r="S523" s="250"/>
      <c r="T523" s="251"/>
      <c r="U523" s="249"/>
      <c r="V523" s="249"/>
      <c r="W523" s="251"/>
      <c r="X523" s="252"/>
      <c r="Y523" s="253"/>
    </row>
    <row r="524" spans="1:25">
      <c r="C524" s="245"/>
      <c r="E524" s="246"/>
      <c r="F524" s="247"/>
      <c r="G524" s="247"/>
      <c r="H524" s="56"/>
      <c r="J524" s="248"/>
      <c r="K524" s="248"/>
      <c r="L524" s="249"/>
      <c r="M524" s="249"/>
      <c r="N524" s="245"/>
      <c r="P524"/>
      <c r="R524"/>
      <c r="S524" s="250"/>
      <c r="T524" s="251"/>
      <c r="U524" s="249"/>
      <c r="V524" s="249"/>
      <c r="W524" s="251"/>
      <c r="X524" s="252"/>
      <c r="Y524" s="253"/>
    </row>
    <row r="525" spans="1:25">
      <c r="C525" s="245"/>
      <c r="E525" s="246"/>
      <c r="F525" s="247"/>
      <c r="G525" s="247"/>
      <c r="H525" s="56"/>
      <c r="J525" s="248"/>
      <c r="K525" s="248"/>
      <c r="L525" s="249"/>
      <c r="M525" s="249"/>
      <c r="N525" s="245"/>
      <c r="P525"/>
      <c r="R525"/>
      <c r="S525" s="250"/>
      <c r="T525" s="251"/>
      <c r="U525" s="249"/>
      <c r="V525" s="249"/>
      <c r="W525" s="251"/>
      <c r="X525" s="252"/>
      <c r="Y525" s="253"/>
    </row>
    <row r="526" spans="1:25">
      <c r="C526" s="245"/>
      <c r="E526" s="246"/>
      <c r="F526" s="247"/>
      <c r="G526" s="247"/>
      <c r="H526" s="56"/>
      <c r="J526" s="248"/>
      <c r="K526" s="248"/>
      <c r="L526" s="249"/>
      <c r="M526" s="249"/>
      <c r="N526" s="245"/>
      <c r="P526"/>
      <c r="R526"/>
      <c r="S526" s="250"/>
      <c r="T526" s="251"/>
      <c r="U526" s="249"/>
      <c r="V526" s="249"/>
      <c r="W526" s="251"/>
      <c r="X526" s="252"/>
      <c r="Y526" s="253"/>
    </row>
    <row r="527" spans="1:25">
      <c r="C527" s="245"/>
      <c r="E527" s="246"/>
      <c r="F527" s="247"/>
      <c r="G527" s="247"/>
      <c r="H527" s="56"/>
      <c r="J527" s="248"/>
      <c r="K527" s="248"/>
      <c r="L527" s="249"/>
      <c r="M527" s="249"/>
      <c r="N527" s="245"/>
      <c r="P527"/>
      <c r="R527"/>
      <c r="S527" s="250"/>
      <c r="T527" s="251"/>
      <c r="U527" s="249"/>
      <c r="V527" s="249"/>
      <c r="W527" s="251"/>
      <c r="X527" s="252"/>
      <c r="Y527" s="253"/>
    </row>
    <row r="528" spans="1:25">
      <c r="B528" s="254" t="str">
        <f>HYPERLINK("#", "【シートトップ】ハイパーリンク")</f>
        <v>【シートトップ】ハイパーリンク</v>
      </c>
      <c r="N528" s="56"/>
      <c r="P528"/>
      <c r="Q528"/>
      <c r="R528"/>
    </row>
    <row r="529" spans="2:25">
      <c r="B529" s="666" t="s">
        <v>17</v>
      </c>
      <c r="C529" s="131" t="s">
        <v>19</v>
      </c>
      <c r="D529" s="231"/>
      <c r="E529" s="231"/>
      <c r="F529" s="231"/>
      <c r="G529" s="231"/>
      <c r="H529" s="231"/>
      <c r="I529" s="231"/>
      <c r="J529" s="231"/>
      <c r="K529" s="231"/>
      <c r="L529" s="231"/>
      <c r="M529" s="197"/>
      <c r="N529" s="128" t="s">
        <v>95</v>
      </c>
      <c r="O529" s="65"/>
      <c r="P529" s="65"/>
      <c r="Q529" s="65"/>
      <c r="R529" s="65"/>
      <c r="S529" s="65"/>
      <c r="T529" s="65"/>
      <c r="U529" s="65"/>
      <c r="V529" s="66"/>
      <c r="W529" s="64" t="s">
        <v>26</v>
      </c>
      <c r="X529" s="65"/>
      <c r="Y529" s="66"/>
    </row>
    <row r="530" spans="2:25" ht="33">
      <c r="B530" s="661"/>
      <c r="C530" s="232" t="s">
        <v>1019</v>
      </c>
      <c r="D530" s="233" t="s">
        <v>1061</v>
      </c>
      <c r="E530" s="233" t="s">
        <v>1072</v>
      </c>
      <c r="F530" s="233" t="s">
        <v>1063</v>
      </c>
      <c r="G530" s="233" t="s">
        <v>1064</v>
      </c>
      <c r="H530" s="233" t="s">
        <v>918</v>
      </c>
      <c r="I530" s="233" t="s">
        <v>1070</v>
      </c>
      <c r="J530" s="233" t="s">
        <v>1066</v>
      </c>
      <c r="K530" s="233" t="s">
        <v>1067</v>
      </c>
      <c r="L530" s="233" t="s">
        <v>1</v>
      </c>
      <c r="M530" s="233" t="s">
        <v>968</v>
      </c>
      <c r="N530" s="232" t="s">
        <v>833</v>
      </c>
      <c r="O530" s="233" t="s">
        <v>1061</v>
      </c>
      <c r="P530" s="233" t="s">
        <v>1072</v>
      </c>
      <c r="Q530" s="233" t="s">
        <v>918</v>
      </c>
      <c r="R530" s="233" t="s">
        <v>1070</v>
      </c>
      <c r="S530" s="233" t="s">
        <v>1066</v>
      </c>
      <c r="T530" s="233" t="s">
        <v>1067</v>
      </c>
      <c r="U530" s="233" t="s">
        <v>1</v>
      </c>
      <c r="V530" s="233" t="s">
        <v>968</v>
      </c>
      <c r="W530" s="102" t="s">
        <v>1071</v>
      </c>
      <c r="X530" s="102" t="s">
        <v>1074</v>
      </c>
      <c r="Y530" s="102" t="s">
        <v>920</v>
      </c>
    </row>
    <row r="531" spans="2:25">
      <c r="B531" s="59" t="s">
        <v>18</v>
      </c>
      <c r="C531" s="106"/>
      <c r="D531" s="89" t="s">
        <v>38</v>
      </c>
      <c r="E531" s="89" t="s">
        <v>37</v>
      </c>
      <c r="F531" s="89" t="s">
        <v>812</v>
      </c>
      <c r="G531" s="89" t="s">
        <v>813</v>
      </c>
      <c r="H531" s="85"/>
      <c r="I531" s="89" t="s">
        <v>121</v>
      </c>
      <c r="J531" s="234" t="s">
        <v>1181</v>
      </c>
      <c r="K531" s="89" t="s">
        <v>16</v>
      </c>
      <c r="L531" s="62" t="s">
        <v>5</v>
      </c>
      <c r="M531" s="62" t="s">
        <v>708</v>
      </c>
      <c r="N531" s="235"/>
      <c r="O531" s="89" t="s">
        <v>38</v>
      </c>
      <c r="P531" s="89" t="s">
        <v>37</v>
      </c>
      <c r="Q531" s="85"/>
      <c r="R531" s="89" t="s">
        <v>121</v>
      </c>
      <c r="S531" s="234" t="s">
        <v>1181</v>
      </c>
      <c r="T531" s="89" t="s">
        <v>16</v>
      </c>
      <c r="U531" s="62" t="s">
        <v>5</v>
      </c>
      <c r="V531" s="62" t="s">
        <v>708</v>
      </c>
      <c r="W531" s="89" t="s">
        <v>16</v>
      </c>
      <c r="X531" s="62" t="s">
        <v>5</v>
      </c>
      <c r="Y531" s="89" t="s">
        <v>708</v>
      </c>
    </row>
    <row r="532" spans="2:25">
      <c r="B532" s="89" t="s">
        <v>13</v>
      </c>
      <c r="C532" s="255"/>
      <c r="D532" s="237">
        <f>SUM(D533:D537)</f>
        <v>110</v>
      </c>
      <c r="E532" s="108"/>
      <c r="F532" s="86"/>
      <c r="G532" s="86"/>
      <c r="H532" s="255"/>
      <c r="I532" s="86"/>
      <c r="J532" s="332"/>
      <c r="K532" s="338">
        <f>SUM(K533:K537)</f>
        <v>14580</v>
      </c>
      <c r="L532" s="339">
        <f>SUM(L533:L537)</f>
        <v>6.5901599999999991</v>
      </c>
      <c r="M532" s="339">
        <f>SUM(M533:M537)</f>
        <v>3.2500569600000002</v>
      </c>
      <c r="N532" s="256"/>
      <c r="O532" s="237">
        <f>SUM(O533:O537)</f>
        <v>110</v>
      </c>
      <c r="P532" s="255"/>
      <c r="Q532" s="255"/>
      <c r="R532" s="86"/>
      <c r="S532" s="334"/>
      <c r="T532" s="338">
        <f t="shared" ref="T532:Y532" si="57">SUM(T533:T537)</f>
        <v>7063.35</v>
      </c>
      <c r="U532" s="339">
        <f t="shared" si="57"/>
        <v>3.1926341999999996</v>
      </c>
      <c r="V532" s="339">
        <f t="shared" si="57"/>
        <v>1.5745054752000003</v>
      </c>
      <c r="W532" s="338">
        <f t="shared" si="57"/>
        <v>7516.65</v>
      </c>
      <c r="X532" s="339">
        <f t="shared" si="57"/>
        <v>3.3975257999999995</v>
      </c>
      <c r="Y532" s="240">
        <f t="shared" si="57"/>
        <v>1.6755514847999999</v>
      </c>
    </row>
    <row r="533" spans="2:25">
      <c r="B533" s="59" t="s">
        <v>42</v>
      </c>
      <c r="C533" s="241" t="s">
        <v>848</v>
      </c>
      <c r="D533" s="201">
        <v>10</v>
      </c>
      <c r="E533" s="485">
        <v>32</v>
      </c>
      <c r="F533" s="242">
        <v>2</v>
      </c>
      <c r="G533" s="242">
        <v>250</v>
      </c>
      <c r="H533" s="243" t="s">
        <v>341</v>
      </c>
      <c r="I533" s="201"/>
      <c r="J533" s="333">
        <f>IF(H533="○",F533*G533*I533/100,F533*G533)</f>
        <v>500</v>
      </c>
      <c r="K533" s="333">
        <f>E533*D533*J533/1000</f>
        <v>160</v>
      </c>
      <c r="L533" s="336">
        <f>K533*係数!$I$30</f>
        <v>7.2319999999999995E-2</v>
      </c>
      <c r="M533" s="336">
        <f>K533*係数!$C$30*0.0000258</f>
        <v>3.5665920000000004E-2</v>
      </c>
      <c r="N533" s="241" t="s">
        <v>853</v>
      </c>
      <c r="O533" s="201">
        <v>10</v>
      </c>
      <c r="P533" s="484">
        <v>20.6</v>
      </c>
      <c r="Q533" s="243" t="s">
        <v>197</v>
      </c>
      <c r="R533" s="201">
        <v>30</v>
      </c>
      <c r="S533" s="335">
        <f>IF(Q533="○",F533*G533*R533/100,F533*G533)</f>
        <v>150</v>
      </c>
      <c r="T533" s="282">
        <f>P533*O533*S533/1000</f>
        <v>30.9</v>
      </c>
      <c r="U533" s="336">
        <f>T533*係数!$I$30</f>
        <v>1.3966799999999998E-2</v>
      </c>
      <c r="V533" s="336">
        <f>T533*係数!$C$30*0.0000258</f>
        <v>6.8879808000000004E-3</v>
      </c>
      <c r="W533" s="282">
        <f t="shared" ref="W533:Y537" si="58">K533-T533</f>
        <v>129.1</v>
      </c>
      <c r="X533" s="336">
        <f t="shared" si="58"/>
        <v>5.8353199999999994E-2</v>
      </c>
      <c r="Y533" s="244">
        <f t="shared" si="58"/>
        <v>2.8777939200000005E-2</v>
      </c>
    </row>
    <row r="534" spans="2:25">
      <c r="B534" s="59" t="s">
        <v>43</v>
      </c>
      <c r="C534" s="241" t="s">
        <v>847</v>
      </c>
      <c r="D534" s="201">
        <v>40</v>
      </c>
      <c r="E534" s="485">
        <v>64</v>
      </c>
      <c r="F534" s="242">
        <v>8</v>
      </c>
      <c r="G534" s="242">
        <v>250</v>
      </c>
      <c r="H534" s="243" t="s">
        <v>341</v>
      </c>
      <c r="I534" s="201"/>
      <c r="J534" s="333">
        <f>IF(H534="○",F534*G534*I534/100,F534*G534)</f>
        <v>2000</v>
      </c>
      <c r="K534" s="333">
        <f>E534*D534*J534/1000</f>
        <v>5120</v>
      </c>
      <c r="L534" s="336">
        <f>K534*係数!$I$30</f>
        <v>2.3142399999999999</v>
      </c>
      <c r="M534" s="336">
        <f>K534*係数!$C$30*0.0000258</f>
        <v>1.1413094400000001</v>
      </c>
      <c r="N534" s="241" t="s">
        <v>854</v>
      </c>
      <c r="O534" s="201">
        <v>40</v>
      </c>
      <c r="P534" s="484">
        <v>43.1</v>
      </c>
      <c r="Q534" s="243" t="s">
        <v>341</v>
      </c>
      <c r="R534" s="201"/>
      <c r="S534" s="335">
        <f t="shared" ref="S534:S537" si="59">IF(Q534="○",F534*G534*R534/100,F534*G534)</f>
        <v>2000</v>
      </c>
      <c r="T534" s="282">
        <f>P534*O534*S534/1000</f>
        <v>3448</v>
      </c>
      <c r="U534" s="336">
        <f>T534*係数!$I$30</f>
        <v>1.5584959999999999</v>
      </c>
      <c r="V534" s="336">
        <f>T534*係数!$C$30*0.0000258</f>
        <v>0.76860057600000009</v>
      </c>
      <c r="W534" s="282">
        <f t="shared" si="58"/>
        <v>1672</v>
      </c>
      <c r="X534" s="336">
        <f t="shared" si="58"/>
        <v>0.75574399999999997</v>
      </c>
      <c r="Y534" s="244">
        <f t="shared" si="58"/>
        <v>0.37270886400000003</v>
      </c>
    </row>
    <row r="535" spans="2:25">
      <c r="B535" s="59" t="s">
        <v>44</v>
      </c>
      <c r="C535" s="241" t="s">
        <v>849</v>
      </c>
      <c r="D535" s="201">
        <v>10</v>
      </c>
      <c r="E535" s="485">
        <v>40</v>
      </c>
      <c r="F535" s="242">
        <v>2</v>
      </c>
      <c r="G535" s="242">
        <v>250</v>
      </c>
      <c r="H535" s="243" t="s">
        <v>341</v>
      </c>
      <c r="I535" s="201"/>
      <c r="J535" s="333">
        <f>IF(H535="○",F535*G535*I535/100,F535*G535)</f>
        <v>500</v>
      </c>
      <c r="K535" s="333">
        <f>E535*D535*J535/1000</f>
        <v>200</v>
      </c>
      <c r="L535" s="336">
        <f>K535*係数!$I$30</f>
        <v>9.0399999999999994E-2</v>
      </c>
      <c r="M535" s="336">
        <f>K535*係数!$C$30*0.0000258</f>
        <v>4.4582400000000001E-2</v>
      </c>
      <c r="N535" s="241" t="s">
        <v>855</v>
      </c>
      <c r="O535" s="201">
        <v>10</v>
      </c>
      <c r="P535" s="484">
        <v>16.3</v>
      </c>
      <c r="Q535" s="243" t="s">
        <v>197</v>
      </c>
      <c r="R535" s="201">
        <v>30</v>
      </c>
      <c r="S535" s="335">
        <f t="shared" si="59"/>
        <v>150</v>
      </c>
      <c r="T535" s="282">
        <f>P535*O535*S535/1000</f>
        <v>24.45</v>
      </c>
      <c r="U535" s="336">
        <f>T535*係数!$I$30</f>
        <v>1.1051399999999999E-2</v>
      </c>
      <c r="V535" s="336">
        <f>T535*係数!$C$30*0.0000258</f>
        <v>5.4501984000000009E-3</v>
      </c>
      <c r="W535" s="282">
        <f t="shared" si="58"/>
        <v>175.55</v>
      </c>
      <c r="X535" s="336">
        <f t="shared" si="58"/>
        <v>7.9348599999999991E-2</v>
      </c>
      <c r="Y535" s="244">
        <f t="shared" si="58"/>
        <v>3.9132201599999999E-2</v>
      </c>
    </row>
    <row r="536" spans="2:25">
      <c r="B536" s="59" t="s">
        <v>45</v>
      </c>
      <c r="C536" s="241" t="s">
        <v>850</v>
      </c>
      <c r="D536" s="201">
        <v>40</v>
      </c>
      <c r="E536" s="485">
        <v>80</v>
      </c>
      <c r="F536" s="242">
        <v>8</v>
      </c>
      <c r="G536" s="242">
        <v>250</v>
      </c>
      <c r="H536" s="243" t="s">
        <v>341</v>
      </c>
      <c r="I536" s="201"/>
      <c r="J536" s="333">
        <f>IF(H536="○",F536*G536*I536/100,F536*G536)</f>
        <v>2000</v>
      </c>
      <c r="K536" s="333">
        <f>E536*D536*J536/1000</f>
        <v>6400</v>
      </c>
      <c r="L536" s="336">
        <f>K536*係数!$I$30</f>
        <v>2.8927999999999998</v>
      </c>
      <c r="M536" s="336">
        <f>K536*係数!$C$30*0.0000258</f>
        <v>1.4266368</v>
      </c>
      <c r="N536" s="241" t="s">
        <v>856</v>
      </c>
      <c r="O536" s="201">
        <v>40</v>
      </c>
      <c r="P536" s="484">
        <v>31.9</v>
      </c>
      <c r="Q536" s="243" t="s">
        <v>341</v>
      </c>
      <c r="R536" s="201"/>
      <c r="S536" s="335">
        <f t="shared" si="59"/>
        <v>2000</v>
      </c>
      <c r="T536" s="282">
        <f>P536*O536*S536/1000</f>
        <v>2552</v>
      </c>
      <c r="U536" s="336">
        <f>T536*係数!$I$30</f>
        <v>1.1535039999999999</v>
      </c>
      <c r="V536" s="336">
        <f>T536*係数!$C$30*0.0000258</f>
        <v>0.56887142400000013</v>
      </c>
      <c r="W536" s="282">
        <f t="shared" si="58"/>
        <v>3848</v>
      </c>
      <c r="X536" s="336">
        <f t="shared" si="58"/>
        <v>1.739296</v>
      </c>
      <c r="Y536" s="244">
        <f t="shared" si="58"/>
        <v>0.85776537599999991</v>
      </c>
    </row>
    <row r="537" spans="2:25">
      <c r="B537" s="59" t="s">
        <v>46</v>
      </c>
      <c r="C537" s="241" t="s">
        <v>1020</v>
      </c>
      <c r="D537" s="201">
        <v>10</v>
      </c>
      <c r="E537" s="485">
        <v>300</v>
      </c>
      <c r="F537" s="242">
        <v>6</v>
      </c>
      <c r="G537" s="242">
        <v>150</v>
      </c>
      <c r="H537" s="243" t="s">
        <v>341</v>
      </c>
      <c r="I537" s="201"/>
      <c r="J537" s="333">
        <f>IF(H537="○",F537*G537*I537/100,F537*G537)</f>
        <v>900</v>
      </c>
      <c r="K537" s="333">
        <f>E537*D537*J537/1000</f>
        <v>2700</v>
      </c>
      <c r="L537" s="336">
        <f>K537*係数!$I$30</f>
        <v>1.2203999999999999</v>
      </c>
      <c r="M537" s="336">
        <f>K537*係数!$C$30*0.0000258</f>
        <v>0.60186240000000002</v>
      </c>
      <c r="N537" s="241" t="s">
        <v>857</v>
      </c>
      <c r="O537" s="201">
        <v>10</v>
      </c>
      <c r="P537" s="484">
        <v>112</v>
      </c>
      <c r="Q537" s="243" t="s">
        <v>341</v>
      </c>
      <c r="R537" s="201"/>
      <c r="S537" s="335">
        <f t="shared" si="59"/>
        <v>900</v>
      </c>
      <c r="T537" s="282">
        <f>P537*O537*S537/1000</f>
        <v>1008</v>
      </c>
      <c r="U537" s="336">
        <f>T537*係数!$I$30</f>
        <v>0.45561599999999997</v>
      </c>
      <c r="V537" s="336">
        <f>T537*係数!$C$30*0.0000258</f>
        <v>0.22469529600000002</v>
      </c>
      <c r="W537" s="282">
        <f t="shared" si="58"/>
        <v>1692</v>
      </c>
      <c r="X537" s="336">
        <f t="shared" si="58"/>
        <v>0.76478399999999991</v>
      </c>
      <c r="Y537" s="244">
        <f t="shared" si="58"/>
        <v>0.37716710399999998</v>
      </c>
    </row>
    <row r="538" spans="2:25">
      <c r="N538" s="56"/>
      <c r="O538" s="56"/>
      <c r="Q538"/>
      <c r="R538"/>
    </row>
    <row r="539" spans="2:25">
      <c r="N539" s="56"/>
      <c r="O539" s="56"/>
      <c r="Q539"/>
      <c r="R539"/>
    </row>
    <row r="540" spans="2:25">
      <c r="N540" s="56"/>
      <c r="O540" s="56"/>
      <c r="Q540"/>
      <c r="R540"/>
    </row>
    <row r="541" spans="2:25">
      <c r="N541" s="56"/>
      <c r="O541" s="56"/>
      <c r="Q541"/>
      <c r="R541"/>
    </row>
    <row r="542" spans="2:25">
      <c r="N542" s="56"/>
      <c r="O542" s="56"/>
      <c r="Q542"/>
      <c r="R542"/>
    </row>
    <row r="543" spans="2:25">
      <c r="N543" s="56"/>
      <c r="O543" s="56"/>
      <c r="Q543"/>
      <c r="R543"/>
    </row>
    <row r="544" spans="2:25">
      <c r="N544" s="56"/>
      <c r="O544" s="56"/>
      <c r="Q544"/>
      <c r="R544"/>
    </row>
    <row r="545" spans="14:18">
      <c r="N545" s="56"/>
      <c r="O545" s="56"/>
      <c r="Q545"/>
      <c r="R545"/>
    </row>
    <row r="546" spans="14:18">
      <c r="N546" s="56"/>
      <c r="O546" s="56"/>
      <c r="Q546"/>
      <c r="R546"/>
    </row>
    <row r="547" spans="14:18">
      <c r="N547" s="56"/>
      <c r="O547" s="56"/>
      <c r="Q547"/>
      <c r="R547"/>
    </row>
    <row r="548" spans="14:18">
      <c r="N548" s="56"/>
      <c r="O548" s="56"/>
      <c r="Q548"/>
      <c r="R548"/>
    </row>
    <row r="549" spans="14:18">
      <c r="O549" s="56"/>
      <c r="R549"/>
    </row>
  </sheetData>
  <sheetProtection algorithmName="SHA-512" hashValue="qZ5qLRKzKnz5CLV+QrXJCGjoBEzgUX9WSyqtXQsT9mSqDvGW6DebpSyaCzbr8ZJNH8s9NHlfSuHIlKzwV17kxg==" saltValue="2n5BU2KCmnaO8xMOT/PGaQ==" spinCount="100000" sheet="1" objects="1" formatCells="0" formatColumns="0" formatRows="0"/>
  <mergeCells count="14">
    <mergeCell ref="K3:T3"/>
    <mergeCell ref="K4:T4"/>
    <mergeCell ref="K6:T6"/>
    <mergeCell ref="M7:T7"/>
    <mergeCell ref="B529:B530"/>
    <mergeCell ref="B4:C4"/>
    <mergeCell ref="B5:C5"/>
    <mergeCell ref="B6:C6"/>
    <mergeCell ref="B17:B18"/>
    <mergeCell ref="B7:C7"/>
    <mergeCell ref="K7:L7"/>
    <mergeCell ref="R10:Y10"/>
    <mergeCell ref="R11:Y11"/>
    <mergeCell ref="R12:Y12"/>
  </mergeCells>
  <phoneticPr fontId="8"/>
  <conditionalFormatting sqref="I21:I521 I523:I527">
    <cfRule type="expression" dxfId="81" priority="13">
      <formula>$H21&lt;&gt;"○"</formula>
    </cfRule>
  </conditionalFormatting>
  <conditionalFormatting sqref="I533:I537">
    <cfRule type="expression" dxfId="80" priority="3">
      <formula>$H533&lt;&gt;"○"</formula>
    </cfRule>
  </conditionalFormatting>
  <conditionalFormatting sqref="M7">
    <cfRule type="cellIs" dxfId="79" priority="12" operator="notEqual">
      <formula>"ー"</formula>
    </cfRule>
  </conditionalFormatting>
  <conditionalFormatting sqref="O20">
    <cfRule type="cellIs" dxfId="78" priority="38" operator="greaterThan">
      <formula>$D$20</formula>
    </cfRule>
  </conditionalFormatting>
  <conditionalFormatting sqref="O532">
    <cfRule type="cellIs" dxfId="77" priority="5" operator="greaterThan">
      <formula>$D$532</formula>
    </cfRule>
  </conditionalFormatting>
  <conditionalFormatting sqref="R21:R521 R523:R527">
    <cfRule type="expression" dxfId="76" priority="15">
      <formula>$Q21&lt;&gt;"○"</formula>
    </cfRule>
  </conditionalFormatting>
  <conditionalFormatting sqref="R533:R537">
    <cfRule type="expression" dxfId="75" priority="4">
      <formula>$Q533&lt;&gt;"○"</formula>
    </cfRule>
  </conditionalFormatting>
  <dataValidations count="1">
    <dataValidation type="list" allowBlank="1" showInputMessage="1" showErrorMessage="1" sqref="H21:H520 Q21:Q520 Q533:Q537 H533:H537" xr:uid="{00000000-0002-0000-0100-000000000000}">
      <formula1>"ー,○"</formula1>
    </dataValidation>
  </dataValidations>
  <hyperlinks>
    <hyperlink ref="R10" display="https://www.enecho.meti.go.jp/category/saving_and_new/saving/enterprise/equipment/" xr:uid="{00000000-0004-0000-0100-000000000000}"/>
    <hyperlink ref="R11" location="search" display="https://sii.or.jp/setsubi07r/search/maker?tab=maker&amp;category=led_light#search" xr:uid="{C4DB9726-54CC-4DB6-87A4-69D6FC0323B1}"/>
    <hyperlink ref="R12" display="https://www.env.go.jp/policy/hozen/green/g-law/index.html" xr:uid="{E6C96E02-104F-4D5C-92E5-004C0555D8CC}"/>
  </hyperlinks>
  <pageMargins left="0.70866141732283472" right="0.70866141732283472" top="0.74803149606299213" bottom="0.74803149606299213" header="0.31496062992125984" footer="0.31496062992125984"/>
  <pageSetup paperSize="8" scale="65" fitToHeight="0" orientation="landscape" r:id="rId1"/>
  <ignoredErrors>
    <ignoredError sqref="F20 H20:J20 Q20:S2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Z79"/>
  <sheetViews>
    <sheetView tabSelected="1" zoomScale="70" zoomScaleNormal="70" zoomScaleSheetLayoutView="70" workbookViewId="0">
      <selection activeCell="E22" sqref="E22"/>
    </sheetView>
  </sheetViews>
  <sheetFormatPr defaultColWidth="8.875" defaultRowHeight="18.75"/>
  <cols>
    <col min="1" max="1" width="3.625" customWidth="1"/>
    <col min="2" max="2" width="9.125" customWidth="1"/>
    <col min="3" max="3" width="18.625" customWidth="1"/>
    <col min="4" max="23" width="10.125" customWidth="1"/>
    <col min="24" max="24" width="18.625" customWidth="1"/>
    <col min="25" max="25" width="10.25" customWidth="1"/>
    <col min="26" max="41" width="10.125" customWidth="1"/>
    <col min="42" max="44" width="9.125" customWidth="1"/>
  </cols>
  <sheetData>
    <row r="1" spans="1:46" ht="30">
      <c r="A1" s="11" t="str">
        <f>照明!A1</f>
        <v>令和8年度：排出量削減効果算定シート</v>
      </c>
      <c r="K1" s="74"/>
    </row>
    <row r="2" spans="1:46" ht="30">
      <c r="A2" s="11" t="s">
        <v>832</v>
      </c>
    </row>
    <row r="3" spans="1:46" ht="20.45" customHeight="1">
      <c r="B3" s="126" t="s">
        <v>837</v>
      </c>
      <c r="I3" s="211"/>
      <c r="L3" s="678" t="str">
        <f>IF(OR(AND(O8="",N8=""),AND(O8="なし",N8="なし")),"特記事項","特記事項（記載必須）")</f>
        <v>特記事項</v>
      </c>
      <c r="M3" s="679"/>
      <c r="N3" s="679"/>
      <c r="O3" s="679"/>
      <c r="P3" s="679"/>
      <c r="Q3" s="679"/>
      <c r="R3" s="679"/>
      <c r="S3" s="679"/>
      <c r="T3" s="679"/>
      <c r="U3" s="680"/>
    </row>
    <row r="4" spans="1:46" ht="20.45" customHeight="1">
      <c r="B4" s="667" t="s">
        <v>17</v>
      </c>
      <c r="C4" s="668"/>
      <c r="D4" s="38" t="s">
        <v>18</v>
      </c>
      <c r="E4" s="38" t="s">
        <v>19</v>
      </c>
      <c r="F4" s="38" t="s">
        <v>20</v>
      </c>
      <c r="G4" s="38" t="s">
        <v>21</v>
      </c>
      <c r="I4" s="674" t="s">
        <v>988</v>
      </c>
      <c r="J4" s="674"/>
      <c r="L4" s="681" t="s">
        <v>904</v>
      </c>
      <c r="M4" s="682"/>
      <c r="N4" s="682"/>
      <c r="O4" s="682"/>
      <c r="P4" s="682"/>
      <c r="Q4" s="682"/>
      <c r="R4" s="682"/>
      <c r="S4" s="682"/>
      <c r="T4" s="682"/>
      <c r="U4" s="683"/>
    </row>
    <row r="5" spans="1:46" ht="20.45" customHeight="1">
      <c r="B5" s="697" t="s">
        <v>93</v>
      </c>
      <c r="C5" s="697"/>
      <c r="D5" s="38" t="s">
        <v>16</v>
      </c>
      <c r="E5" s="47">
        <f>T22</f>
        <v>0</v>
      </c>
      <c r="F5" s="47">
        <f>AH22</f>
        <v>0</v>
      </c>
      <c r="G5" s="47">
        <f>E5-F5</f>
        <v>0</v>
      </c>
      <c r="I5" s="306" t="s">
        <v>986</v>
      </c>
      <c r="J5" s="89" t="s">
        <v>987</v>
      </c>
      <c r="L5" s="31"/>
    </row>
    <row r="6" spans="1:46" ht="20.45" customHeight="1">
      <c r="B6" s="673" t="s">
        <v>101</v>
      </c>
      <c r="C6" s="673"/>
      <c r="D6" s="38" t="s">
        <v>102</v>
      </c>
      <c r="E6" s="141">
        <f>U22</f>
        <v>0</v>
      </c>
      <c r="F6" s="141">
        <f>AI22</f>
        <v>0</v>
      </c>
      <c r="G6" s="47">
        <f>E6-F6</f>
        <v>0</v>
      </c>
      <c r="I6" s="307"/>
      <c r="J6" s="308">
        <f>I6*1.163/1000</f>
        <v>0</v>
      </c>
      <c r="L6" s="684" t="s">
        <v>330</v>
      </c>
      <c r="M6" s="685"/>
      <c r="N6" s="685"/>
      <c r="O6" s="685"/>
      <c r="P6" s="685"/>
      <c r="Q6" s="685"/>
      <c r="R6" s="685"/>
      <c r="S6" s="685"/>
      <c r="T6" s="685"/>
      <c r="U6" s="686"/>
      <c r="AL6" s="56"/>
      <c r="AM6" s="56"/>
    </row>
    <row r="7" spans="1:46">
      <c r="B7" s="697" t="s">
        <v>1</v>
      </c>
      <c r="C7" s="697"/>
      <c r="D7" s="61" t="s">
        <v>5</v>
      </c>
      <c r="E7" s="46">
        <f>V22</f>
        <v>0</v>
      </c>
      <c r="F7" s="46">
        <f>AJ22</f>
        <v>0</v>
      </c>
      <c r="G7" s="313">
        <f>ROUND(E7-F7,1)</f>
        <v>0</v>
      </c>
      <c r="I7" s="675" t="s">
        <v>989</v>
      </c>
      <c r="J7" s="675"/>
      <c r="L7" s="676" t="s">
        <v>332</v>
      </c>
      <c r="M7" s="676"/>
      <c r="N7" s="89" t="s">
        <v>96</v>
      </c>
      <c r="O7" s="89" t="s">
        <v>97</v>
      </c>
      <c r="P7" s="687" t="str">
        <f>IF(OR(OR(N8="",O8=""),AND(N8="なし",O8="なし")),"ー",IF(COUNTIF(N8:O8,"増加")&gt;0,"やむを得ず増加する場合は特記事項欄に理由を明記してください。(要根拠資料提出)","減少する理由を特記事項欄に明記してください。"))</f>
        <v>ー</v>
      </c>
      <c r="Q7" s="688"/>
      <c r="R7" s="688"/>
      <c r="S7" s="688"/>
      <c r="T7" s="688"/>
      <c r="U7" s="689"/>
    </row>
    <row r="8" spans="1:46">
      <c r="B8" s="697" t="s">
        <v>969</v>
      </c>
      <c r="C8" s="697"/>
      <c r="D8" s="38" t="s">
        <v>24</v>
      </c>
      <c r="E8" s="49">
        <f>W22</f>
        <v>0</v>
      </c>
      <c r="F8" s="49">
        <f>AK22</f>
        <v>0</v>
      </c>
      <c r="G8" s="152">
        <f>ROUND(E8-F8,1)</f>
        <v>0</v>
      </c>
      <c r="H8" s="127"/>
      <c r="I8" s="257"/>
      <c r="L8" s="677" t="s">
        <v>195</v>
      </c>
      <c r="M8" s="677"/>
      <c r="N8" s="12" t="str">
        <f>IF(OR(H22=0,AB22=0),"",IF(H22=AB22,"なし",IF(H22&gt;AB22,"減少","増加")))</f>
        <v/>
      </c>
      <c r="O8" s="12" t="str">
        <f>IF(OR(N22=0,AE22=0),"",IF(N22=AE22,"なし",IF(N22&gt;AE22,"減少","増加")))</f>
        <v/>
      </c>
      <c r="P8" s="690"/>
      <c r="Q8" s="691"/>
      <c r="R8" s="691"/>
      <c r="S8" s="691"/>
      <c r="T8" s="691"/>
      <c r="U8" s="692"/>
      <c r="AL8" s="56"/>
      <c r="AM8" s="56"/>
    </row>
    <row r="9" spans="1:46">
      <c r="B9" s="221" t="s">
        <v>916</v>
      </c>
      <c r="D9" s="15"/>
      <c r="E9" s="15"/>
      <c r="F9" s="56"/>
      <c r="Q9" s="31"/>
    </row>
    <row r="10" spans="1:46" ht="19.5" thickBot="1">
      <c r="AO10" s="56"/>
      <c r="AP10" s="56"/>
    </row>
    <row r="11" spans="1:46">
      <c r="B11" s="31"/>
      <c r="L11" s="222" t="s">
        <v>824</v>
      </c>
      <c r="M11" s="223"/>
      <c r="N11" s="223"/>
      <c r="O11" s="223"/>
      <c r="P11" s="223"/>
      <c r="Q11" s="223"/>
      <c r="R11" s="223"/>
      <c r="S11" s="223"/>
      <c r="T11" s="744" t="s">
        <v>821</v>
      </c>
      <c r="U11" s="745"/>
      <c r="V11" s="745"/>
      <c r="W11" s="745"/>
      <c r="X11" s="745"/>
      <c r="Y11" s="745"/>
      <c r="Z11" s="745"/>
      <c r="AA11" s="746"/>
    </row>
    <row r="12" spans="1:46">
      <c r="B12" s="31"/>
      <c r="L12" s="320" t="s">
        <v>825</v>
      </c>
      <c r="M12" s="310"/>
      <c r="N12" s="310"/>
      <c r="O12" s="310"/>
      <c r="P12" s="310"/>
      <c r="Q12" s="310"/>
      <c r="R12" s="310"/>
      <c r="S12" s="310"/>
      <c r="T12" s="747" t="s">
        <v>1154</v>
      </c>
      <c r="U12" s="748"/>
      <c r="V12" s="748"/>
      <c r="W12" s="748"/>
      <c r="X12" s="748"/>
      <c r="Y12" s="748"/>
      <c r="Z12" s="748"/>
      <c r="AA12" s="749"/>
    </row>
    <row r="13" spans="1:46" ht="18" customHeight="1" thickBot="1">
      <c r="B13" s="32"/>
      <c r="L13" s="226" t="s">
        <v>1166</v>
      </c>
      <c r="M13" s="258"/>
      <c r="N13" s="258"/>
      <c r="O13" s="258"/>
      <c r="P13" s="258"/>
      <c r="Q13" s="258"/>
      <c r="R13" s="258"/>
      <c r="S13" s="258"/>
      <c r="T13" s="750" t="s">
        <v>1165</v>
      </c>
      <c r="U13" s="751"/>
      <c r="V13" s="751"/>
      <c r="W13" s="751"/>
      <c r="X13" s="751"/>
      <c r="Y13" s="751"/>
      <c r="Z13" s="751"/>
      <c r="AA13" s="752"/>
      <c r="AQ13" s="667" t="s">
        <v>17</v>
      </c>
      <c r="AR13" s="668"/>
      <c r="AS13" s="63" t="s">
        <v>852</v>
      </c>
      <c r="AT13" s="92" t="s">
        <v>18</v>
      </c>
    </row>
    <row r="14" spans="1:46">
      <c r="B14" s="37"/>
      <c r="C14" s="37"/>
      <c r="AQ14" s="673" t="s">
        <v>6</v>
      </c>
      <c r="AR14" s="63" t="s">
        <v>99</v>
      </c>
      <c r="AS14" s="13">
        <v>11000</v>
      </c>
      <c r="AT14" s="9" t="s">
        <v>851</v>
      </c>
    </row>
    <row r="15" spans="1:46">
      <c r="C15" s="135"/>
      <c r="I15" s="676" t="s">
        <v>955</v>
      </c>
      <c r="J15" s="676"/>
      <c r="AQ15" s="673"/>
      <c r="AR15" s="63" t="s">
        <v>100</v>
      </c>
      <c r="AS15" s="13">
        <v>10000</v>
      </c>
      <c r="AT15" s="9" t="s">
        <v>851</v>
      </c>
    </row>
    <row r="16" spans="1:46">
      <c r="I16" s="192" t="s">
        <v>953</v>
      </c>
      <c r="J16" s="193" t="s">
        <v>954</v>
      </c>
      <c r="P16" s="31"/>
      <c r="AQ16" s="140" t="s">
        <v>347</v>
      </c>
      <c r="AR16" s="63" t="s">
        <v>103</v>
      </c>
      <c r="AS16" s="13">
        <v>24000</v>
      </c>
      <c r="AT16" s="9" t="s">
        <v>851</v>
      </c>
    </row>
    <row r="17" spans="2:52">
      <c r="B17" s="229" t="str">
        <f>HYPERLINK("#", "【記入例：B54】ハイパーリンク")</f>
        <v>【記入例：B54】ハイパーリンク</v>
      </c>
      <c r="I17" s="190">
        <v>0.4</v>
      </c>
      <c r="J17" s="190">
        <v>0.4</v>
      </c>
    </row>
    <row r="18" spans="2:52">
      <c r="B18" s="660" t="s">
        <v>17</v>
      </c>
      <c r="C18" s="260" t="s">
        <v>19</v>
      </c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65"/>
      <c r="V18" s="65"/>
      <c r="W18" s="66"/>
      <c r="X18" s="150" t="s">
        <v>866</v>
      </c>
      <c r="Y18" s="150"/>
      <c r="Z18" s="150"/>
      <c r="AA18" s="150"/>
      <c r="AB18" s="261"/>
      <c r="AC18" s="65"/>
      <c r="AD18" s="65"/>
      <c r="AE18" s="261"/>
      <c r="AF18" s="65"/>
      <c r="AG18" s="65"/>
      <c r="AH18" s="65"/>
      <c r="AI18" s="65"/>
      <c r="AJ18" s="65"/>
      <c r="AK18" s="66"/>
      <c r="AL18" s="119" t="s">
        <v>26</v>
      </c>
      <c r="AM18" s="120"/>
      <c r="AN18" s="120"/>
      <c r="AO18" s="121"/>
      <c r="AQ18" s="363" t="s">
        <v>1047</v>
      </c>
      <c r="AR18" s="364"/>
      <c r="AS18" s="363" t="s">
        <v>19</v>
      </c>
      <c r="AT18" s="365"/>
      <c r="AU18" s="365"/>
      <c r="AV18" s="365"/>
      <c r="AW18" s="363" t="s">
        <v>1048</v>
      </c>
      <c r="AX18" s="365"/>
      <c r="AY18" s="365"/>
      <c r="AZ18" s="364"/>
    </row>
    <row r="19" spans="2:52">
      <c r="B19" s="698"/>
      <c r="C19" s="139" t="s">
        <v>844</v>
      </c>
      <c r="D19" s="128"/>
      <c r="E19" s="128"/>
      <c r="F19" s="128"/>
      <c r="G19" s="128"/>
      <c r="H19" s="262" t="s">
        <v>96</v>
      </c>
      <c r="I19" s="129"/>
      <c r="J19" s="263"/>
      <c r="K19" s="263"/>
      <c r="L19" s="263"/>
      <c r="M19" s="263"/>
      <c r="N19" s="264" t="s">
        <v>97</v>
      </c>
      <c r="O19" s="130"/>
      <c r="P19" s="265"/>
      <c r="Q19" s="265"/>
      <c r="R19" s="265"/>
      <c r="S19" s="265"/>
      <c r="T19" s="131" t="s">
        <v>838</v>
      </c>
      <c r="U19" s="128"/>
      <c r="V19" s="128"/>
      <c r="W19" s="132"/>
      <c r="X19" s="128"/>
      <c r="Y19" s="128"/>
      <c r="Z19" s="128"/>
      <c r="AA19" s="128"/>
      <c r="AB19" s="262" t="s">
        <v>96</v>
      </c>
      <c r="AC19" s="263"/>
      <c r="AD19" s="263"/>
      <c r="AE19" s="264" t="s">
        <v>97</v>
      </c>
      <c r="AF19" s="130"/>
      <c r="AG19" s="265"/>
      <c r="AH19" s="131" t="s">
        <v>838</v>
      </c>
      <c r="AI19" s="128"/>
      <c r="AJ19" s="65"/>
      <c r="AK19" s="66"/>
      <c r="AL19" s="122"/>
      <c r="AM19" s="123"/>
      <c r="AN19" s="123"/>
      <c r="AO19" s="124"/>
      <c r="AQ19" s="366"/>
      <c r="AR19" s="367"/>
      <c r="AS19" s="366"/>
      <c r="AT19" s="368"/>
      <c r="AU19" s="368"/>
      <c r="AV19" s="368"/>
      <c r="AW19" s="366"/>
      <c r="AX19" s="368"/>
      <c r="AY19" s="368"/>
      <c r="AZ19" s="367"/>
    </row>
    <row r="20" spans="2:52" ht="56.25">
      <c r="B20" s="699"/>
      <c r="C20" s="477" t="s">
        <v>845</v>
      </c>
      <c r="D20" s="477" t="s">
        <v>1060</v>
      </c>
      <c r="E20" s="477" t="s">
        <v>864</v>
      </c>
      <c r="F20" s="477" t="s">
        <v>834</v>
      </c>
      <c r="G20" s="477" t="s">
        <v>835</v>
      </c>
      <c r="H20" s="478" t="s">
        <v>705</v>
      </c>
      <c r="I20" s="478" t="s">
        <v>1069</v>
      </c>
      <c r="J20" s="478" t="s">
        <v>1033</v>
      </c>
      <c r="K20" s="478" t="s">
        <v>1075</v>
      </c>
      <c r="L20" s="478" t="s">
        <v>1080</v>
      </c>
      <c r="M20" s="478" t="s">
        <v>1052</v>
      </c>
      <c r="N20" s="479" t="s">
        <v>705</v>
      </c>
      <c r="O20" s="479" t="s">
        <v>1069</v>
      </c>
      <c r="P20" s="479" t="s">
        <v>1033</v>
      </c>
      <c r="Q20" s="479" t="s">
        <v>1075</v>
      </c>
      <c r="R20" s="479" t="s">
        <v>1080</v>
      </c>
      <c r="S20" s="479" t="s">
        <v>1052</v>
      </c>
      <c r="T20" s="477" t="s">
        <v>1081</v>
      </c>
      <c r="U20" s="477" t="s">
        <v>1036</v>
      </c>
      <c r="V20" s="477" t="s">
        <v>1</v>
      </c>
      <c r="W20" s="477" t="s">
        <v>969</v>
      </c>
      <c r="X20" s="477" t="s">
        <v>845</v>
      </c>
      <c r="Y20" s="477" t="s">
        <v>1060</v>
      </c>
      <c r="Z20" s="477" t="s">
        <v>834</v>
      </c>
      <c r="AA20" s="477" t="s">
        <v>835</v>
      </c>
      <c r="AB20" s="478" t="s">
        <v>705</v>
      </c>
      <c r="AC20" s="478" t="s">
        <v>1069</v>
      </c>
      <c r="AD20" s="478" t="s">
        <v>1033</v>
      </c>
      <c r="AE20" s="479" t="s">
        <v>705</v>
      </c>
      <c r="AF20" s="479" t="s">
        <v>1069</v>
      </c>
      <c r="AG20" s="479" t="s">
        <v>1033</v>
      </c>
      <c r="AH20" s="477" t="s">
        <v>1081</v>
      </c>
      <c r="AI20" s="477" t="s">
        <v>1084</v>
      </c>
      <c r="AJ20" s="61" t="s">
        <v>1</v>
      </c>
      <c r="AK20" s="61" t="s">
        <v>969</v>
      </c>
      <c r="AL20" s="182" t="s">
        <v>1071</v>
      </c>
      <c r="AM20" s="61" t="s">
        <v>1086</v>
      </c>
      <c r="AN20" s="182" t="s">
        <v>1073</v>
      </c>
      <c r="AO20" s="61" t="s">
        <v>915</v>
      </c>
      <c r="AQ20" s="133" t="s">
        <v>864</v>
      </c>
      <c r="AR20" s="133" t="s">
        <v>1088</v>
      </c>
      <c r="AS20" s="133" t="s">
        <v>835</v>
      </c>
      <c r="AT20" s="133" t="s">
        <v>836</v>
      </c>
      <c r="AU20" s="133" t="s">
        <v>105</v>
      </c>
      <c r="AV20" s="133" t="s">
        <v>1023</v>
      </c>
      <c r="AW20" s="133" t="s">
        <v>835</v>
      </c>
      <c r="AX20" s="133" t="s">
        <v>1050</v>
      </c>
      <c r="AY20" s="133" t="s">
        <v>105</v>
      </c>
      <c r="AZ20" s="133" t="s">
        <v>1023</v>
      </c>
    </row>
    <row r="21" spans="2:52">
      <c r="B21" s="68" t="s">
        <v>18</v>
      </c>
      <c r="C21" s="85"/>
      <c r="D21" s="89" t="s">
        <v>38</v>
      </c>
      <c r="E21" s="89" t="s">
        <v>814</v>
      </c>
      <c r="F21" s="85"/>
      <c r="G21" s="85"/>
      <c r="H21" s="116" t="s">
        <v>196</v>
      </c>
      <c r="I21" s="116" t="s">
        <v>98</v>
      </c>
      <c r="J21" s="116" t="s">
        <v>98</v>
      </c>
      <c r="K21" s="116" t="s">
        <v>812</v>
      </c>
      <c r="L21" s="116" t="s">
        <v>813</v>
      </c>
      <c r="M21" s="116" t="s">
        <v>1053</v>
      </c>
      <c r="N21" s="117" t="s">
        <v>196</v>
      </c>
      <c r="O21" s="117" t="s">
        <v>98</v>
      </c>
      <c r="P21" s="117" t="s">
        <v>98</v>
      </c>
      <c r="Q21" s="117" t="s">
        <v>812</v>
      </c>
      <c r="R21" s="117" t="s">
        <v>813</v>
      </c>
      <c r="S21" s="117" t="s">
        <v>1053</v>
      </c>
      <c r="T21" s="89" t="s">
        <v>16</v>
      </c>
      <c r="U21" s="89" t="s">
        <v>102</v>
      </c>
      <c r="V21" s="62" t="s">
        <v>5</v>
      </c>
      <c r="W21" s="62" t="s">
        <v>707</v>
      </c>
      <c r="X21" s="85"/>
      <c r="Y21" s="89" t="s">
        <v>38</v>
      </c>
      <c r="Z21" s="85"/>
      <c r="AA21" s="85"/>
      <c r="AB21" s="116" t="s">
        <v>196</v>
      </c>
      <c r="AC21" s="116" t="s">
        <v>98</v>
      </c>
      <c r="AD21" s="116" t="s">
        <v>98</v>
      </c>
      <c r="AE21" s="117" t="s">
        <v>196</v>
      </c>
      <c r="AF21" s="117" t="s">
        <v>98</v>
      </c>
      <c r="AG21" s="117" t="s">
        <v>98</v>
      </c>
      <c r="AH21" s="89" t="s">
        <v>16</v>
      </c>
      <c r="AI21" s="89" t="s">
        <v>102</v>
      </c>
      <c r="AJ21" s="62" t="s">
        <v>5</v>
      </c>
      <c r="AK21" s="62" t="s">
        <v>707</v>
      </c>
      <c r="AL21" s="89" t="s">
        <v>16</v>
      </c>
      <c r="AM21" s="89" t="s">
        <v>107</v>
      </c>
      <c r="AN21" s="62" t="s">
        <v>5</v>
      </c>
      <c r="AO21" s="89" t="s">
        <v>810</v>
      </c>
      <c r="AQ21" s="89" t="s">
        <v>814</v>
      </c>
      <c r="AR21" s="89" t="s">
        <v>1054</v>
      </c>
      <c r="AS21" s="85"/>
      <c r="AT21" s="89" t="s">
        <v>851</v>
      </c>
      <c r="AU21" s="89" t="s">
        <v>1100</v>
      </c>
      <c r="AV21" s="89" t="s">
        <v>1102</v>
      </c>
      <c r="AW21" s="85"/>
      <c r="AX21" s="89" t="s">
        <v>851</v>
      </c>
      <c r="AY21" s="89" t="s">
        <v>1099</v>
      </c>
      <c r="AZ21" s="89" t="s">
        <v>1101</v>
      </c>
    </row>
    <row r="22" spans="2:52">
      <c r="B22" s="95" t="s">
        <v>13</v>
      </c>
      <c r="C22" s="158"/>
      <c r="D22" s="159">
        <f>SUM(D23:D42)</f>
        <v>0</v>
      </c>
      <c r="E22" s="158"/>
      <c r="F22" s="158"/>
      <c r="G22" s="158"/>
      <c r="H22" s="160">
        <f>SUMPRODUCT($D23:$D42*H23:H42)</f>
        <v>0</v>
      </c>
      <c r="I22" s="465">
        <f>SUMPRODUCT($D23:$D42*I23:I42)</f>
        <v>0</v>
      </c>
      <c r="J22" s="465">
        <f>SUMPRODUCT($D23:$D42*J23:J42)</f>
        <v>0</v>
      </c>
      <c r="K22" s="161"/>
      <c r="L22" s="161"/>
      <c r="M22" s="161"/>
      <c r="N22" s="162">
        <f>SUMPRODUCT($D23:$D42*N23:N42)</f>
        <v>0</v>
      </c>
      <c r="O22" s="163">
        <f>SUMPRODUCT($D23:$D42*O23:O42)</f>
        <v>0</v>
      </c>
      <c r="P22" s="163">
        <f>SUMPRODUCT($D23:$D42*P23:P42)</f>
        <v>0</v>
      </c>
      <c r="Q22" s="161"/>
      <c r="R22" s="161"/>
      <c r="S22" s="161"/>
      <c r="T22" s="352">
        <f>SUM(T23:T42)</f>
        <v>0</v>
      </c>
      <c r="U22" s="353">
        <f>SUM(U23:U42)</f>
        <v>0</v>
      </c>
      <c r="V22" s="370">
        <f>SUM(V23:V42)</f>
        <v>0</v>
      </c>
      <c r="W22" s="370">
        <f>SUM(W23:W42)</f>
        <v>0</v>
      </c>
      <c r="X22" s="158"/>
      <c r="Y22" s="159">
        <f>SUM(Y23:Y42)</f>
        <v>0</v>
      </c>
      <c r="Z22" s="158"/>
      <c r="AA22" s="159"/>
      <c r="AB22" s="160">
        <f>SUMPRODUCT($Y23:$Y42*AB23:AB42)</f>
        <v>0</v>
      </c>
      <c r="AC22" s="164">
        <f t="shared" ref="AC22:AG22" si="0">SUMPRODUCT($Y23:$Y42*AC23:AC42)</f>
        <v>0</v>
      </c>
      <c r="AD22" s="163">
        <f t="shared" si="0"/>
        <v>0</v>
      </c>
      <c r="AE22" s="162">
        <f t="shared" si="0"/>
        <v>0</v>
      </c>
      <c r="AF22" s="164">
        <f t="shared" si="0"/>
        <v>0</v>
      </c>
      <c r="AG22" s="163">
        <f t="shared" si="0"/>
        <v>0</v>
      </c>
      <c r="AH22" s="352">
        <f>SUM(AH23:AH42)</f>
        <v>0</v>
      </c>
      <c r="AI22" s="353">
        <f>SUM(AI23:AI42)</f>
        <v>0</v>
      </c>
      <c r="AJ22" s="354">
        <f t="shared" ref="AJ22:AL22" si="1">SUM(AJ23:AJ42)</f>
        <v>0</v>
      </c>
      <c r="AK22" s="354">
        <f>SUM(AK23:AK42)</f>
        <v>0</v>
      </c>
      <c r="AL22" s="355">
        <f t="shared" si="1"/>
        <v>0</v>
      </c>
      <c r="AM22" s="356">
        <f>SUM(AM23:AM42)</f>
        <v>0</v>
      </c>
      <c r="AN22" s="160">
        <f>SUM(AN23:AN42)</f>
        <v>0</v>
      </c>
      <c r="AO22" s="339">
        <f>SUM(AO23:AO42)</f>
        <v>0</v>
      </c>
      <c r="AQ22" s="532"/>
      <c r="AR22" s="532"/>
      <c r="AS22" s="532"/>
      <c r="AT22" s="532"/>
      <c r="AU22" s="532"/>
      <c r="AV22" s="532"/>
      <c r="AW22" s="532"/>
      <c r="AX22" s="532"/>
      <c r="AY22" s="532"/>
      <c r="AZ22" s="532"/>
    </row>
    <row r="23" spans="2:52">
      <c r="B23" s="68" t="s">
        <v>42</v>
      </c>
      <c r="C23" s="10"/>
      <c r="D23" s="3"/>
      <c r="E23" s="10"/>
      <c r="F23" s="109"/>
      <c r="G23" s="4"/>
      <c r="H23" s="442"/>
      <c r="I23" s="319"/>
      <c r="J23" s="319"/>
      <c r="K23" s="103"/>
      <c r="L23" s="103"/>
      <c r="M23" s="531">
        <f>K23*L23</f>
        <v>0</v>
      </c>
      <c r="N23" s="443"/>
      <c r="O23" s="319"/>
      <c r="P23" s="319"/>
      <c r="Q23" s="103"/>
      <c r="R23" s="103"/>
      <c r="S23" s="531">
        <f>Q23*R23</f>
        <v>0</v>
      </c>
      <c r="T23" s="369">
        <f t="shared" ref="T23:T42" si="2">D23*I23*M23*$I$17*$AR23+D23*O23*S23*$J$17*$AR23</f>
        <v>0</v>
      </c>
      <c r="U23" s="43">
        <f t="shared" ref="U23:U42" si="3">IF(AT23&lt;&gt;0,D23*J23*M23*860/$AT23*$I$17*AR23+D23*P23*S23*860/$AT23*$J$17*AR23,0)</f>
        <v>0</v>
      </c>
      <c r="V23" s="362">
        <f>T23*係数!$I$30+U23*$AU23</f>
        <v>0</v>
      </c>
      <c r="W23" s="362">
        <f>(T23*係数!$C$30+U23*$AV23)*0.0000258</f>
        <v>0</v>
      </c>
      <c r="X23" s="10"/>
      <c r="Y23" s="3"/>
      <c r="Z23" s="4"/>
      <c r="AA23" s="4"/>
      <c r="AB23" s="442"/>
      <c r="AC23" s="319"/>
      <c r="AD23" s="319"/>
      <c r="AE23" s="442"/>
      <c r="AF23" s="319"/>
      <c r="AG23" s="319"/>
      <c r="AH23" s="327">
        <f t="shared" ref="AH23:AH42" si="4">Y23*AC23*M23*$I$17+Y23*AF23*S23*$J$17</f>
        <v>0</v>
      </c>
      <c r="AI23" s="43">
        <f t="shared" ref="AI23:AI42" si="5">IF($AX23&lt;&gt;0,Y23*AD23*$M23*860/$AX23*$I$17+Y23*$AG23*S23*860/$AX23*$J$17,0)</f>
        <v>0</v>
      </c>
      <c r="AJ23" s="351">
        <f>AH23*係数!$I$30+AI23*$AY23</f>
        <v>0</v>
      </c>
      <c r="AK23" s="351">
        <f>(AH23*係数!$C$30+AI23*$AZ23)*0.0000258</f>
        <v>0</v>
      </c>
      <c r="AL23" s="282">
        <f t="shared" ref="AL23:AL42" si="6">T23-AH23</f>
        <v>0</v>
      </c>
      <c r="AM23" s="357">
        <f t="shared" ref="AM23:AM42" si="7">U23-AI23</f>
        <v>0</v>
      </c>
      <c r="AN23" s="358">
        <f t="shared" ref="AN23:AN42" si="8">V23-AJ23</f>
        <v>0</v>
      </c>
      <c r="AO23" s="359">
        <f t="shared" ref="AO23:AO42" si="9">W23-AK23</f>
        <v>0</v>
      </c>
      <c r="AQ23" s="533">
        <f t="shared" ref="AQ23:AQ42" si="10">E23</f>
        <v>0</v>
      </c>
      <c r="AR23" s="534">
        <f>IF(AQ23=0,1,MIN(1.5,(2026-AQ23)*0.02+1))</f>
        <v>1</v>
      </c>
      <c r="AS23" s="535">
        <f t="shared" ref="AS23:AS42" si="11">G23</f>
        <v>0</v>
      </c>
      <c r="AT23" s="535">
        <f t="shared" ref="AT23:AT42" si="12">IF(AS23=0,0,IF(AS23="13A（都市ガス）",VLOOKUP("13A",$AR$14:$AT$16,2,FALSE),IF(AS23="12A（都市ガス）",VLOOKUP("12A",$AR$14:$AT$16,2,FALSE),VLOOKUP("LP",$AR$14:$AT$16,2,FALSE))))</f>
        <v>0</v>
      </c>
      <c r="AU23" s="536">
        <f>IF(AS23&lt;&gt;"LPG",VLOOKUP("都市ガス",係数!$B$3:$I$30,8,FALSE),VLOOKUP("液化石油ガス（LPG）",係数!$B$3:$I$30,8,FALSE)/0.458)</f>
        <v>2.0500000000000002E-3</v>
      </c>
      <c r="AV23" s="537">
        <f>IF(AS23&lt;&gt;"LPG",VLOOKUP("都市ガス",係数!$B$3:$C$30,2,FALSE),VLOOKUP("液化石油ガス（LPG）",係数!$B$3:$C$30,2,FALSE)/0.458)</f>
        <v>45</v>
      </c>
      <c r="AW23" s="535">
        <f>AA23</f>
        <v>0</v>
      </c>
      <c r="AX23" s="535">
        <f t="shared" ref="AX23:AX42" si="13">IF(AW23=0,0,IF(AW23="13A（都市ガス）",VLOOKUP("13A",$AR$14:$AS$16,2,FALSE),IF(AW23="12A（都市ガス）",VLOOKUP("12A",$AR$14:$AS$16,2,FALSE),VLOOKUP("LP",$AR$14:$AS$16,2,FALSE))))</f>
        <v>0</v>
      </c>
      <c r="AY23" s="536">
        <f>IF(AW23&lt;&gt;"LPG",VLOOKUP("都市ガス",係数!$B$3:$I$30,8,FALSE),VLOOKUP("液化石油ガス（LPG）",係数!$B$3:$I$30,8,FALSE)/0.458)</f>
        <v>2.0500000000000002E-3</v>
      </c>
      <c r="AZ23" s="538">
        <f>IF(AW23&lt;&gt;"LPG",VLOOKUP("都市ガス",係数!$B$3:$C$30,2,FALSE),VLOOKUP("液化石油ガス（LPG）",係数!$B$3:$C$30,2,FALSE)/0.458)</f>
        <v>45</v>
      </c>
    </row>
    <row r="24" spans="2:52">
      <c r="B24" s="59" t="s">
        <v>43</v>
      </c>
      <c r="C24" s="10"/>
      <c r="D24" s="3"/>
      <c r="E24" s="10"/>
      <c r="F24" s="109"/>
      <c r="G24" s="4"/>
      <c r="H24" s="442"/>
      <c r="I24" s="319"/>
      <c r="J24" s="319"/>
      <c r="K24" s="103"/>
      <c r="L24" s="103"/>
      <c r="M24" s="531">
        <f t="shared" ref="M24:M42" si="14">K24*L24</f>
        <v>0</v>
      </c>
      <c r="N24" s="443"/>
      <c r="O24" s="319"/>
      <c r="P24" s="319"/>
      <c r="Q24" s="103"/>
      <c r="R24" s="103"/>
      <c r="S24" s="531">
        <f>Q24*R24</f>
        <v>0</v>
      </c>
      <c r="T24" s="369">
        <f t="shared" si="2"/>
        <v>0</v>
      </c>
      <c r="U24" s="43">
        <f t="shared" si="3"/>
        <v>0</v>
      </c>
      <c r="V24" s="362">
        <f>T24*係数!$I$30+U24*$AU24</f>
        <v>0</v>
      </c>
      <c r="W24" s="362">
        <f>(T24*係数!$C$30+U24*$AV24)*0.0000258</f>
        <v>0</v>
      </c>
      <c r="X24" s="10"/>
      <c r="Y24" s="3"/>
      <c r="Z24" s="4"/>
      <c r="AA24" s="4"/>
      <c r="AB24" s="442"/>
      <c r="AC24" s="319"/>
      <c r="AD24" s="319"/>
      <c r="AE24" s="442"/>
      <c r="AF24" s="319"/>
      <c r="AG24" s="319"/>
      <c r="AH24" s="327">
        <f t="shared" si="4"/>
        <v>0</v>
      </c>
      <c r="AI24" s="43">
        <f t="shared" si="5"/>
        <v>0</v>
      </c>
      <c r="AJ24" s="351">
        <f>AH24*係数!$I$30+AI24*$AY24</f>
        <v>0</v>
      </c>
      <c r="AK24" s="351">
        <f>(AH24*係数!$C$30+AI24*$AZ24)*0.0000258</f>
        <v>0</v>
      </c>
      <c r="AL24" s="282">
        <f t="shared" si="6"/>
        <v>0</v>
      </c>
      <c r="AM24" s="357">
        <f t="shared" si="7"/>
        <v>0</v>
      </c>
      <c r="AN24" s="358">
        <f t="shared" si="8"/>
        <v>0</v>
      </c>
      <c r="AO24" s="359">
        <f t="shared" si="9"/>
        <v>0</v>
      </c>
      <c r="AQ24" s="533">
        <f t="shared" si="10"/>
        <v>0</v>
      </c>
      <c r="AR24" s="534">
        <f t="shared" ref="AR24:AR42" si="15">IF(AQ24=0,1,MIN(1.5,(2026-AQ24)*0.02+1))</f>
        <v>1</v>
      </c>
      <c r="AS24" s="535">
        <f t="shared" si="11"/>
        <v>0</v>
      </c>
      <c r="AT24" s="535">
        <f t="shared" si="12"/>
        <v>0</v>
      </c>
      <c r="AU24" s="536">
        <f>IF(AS24&lt;&gt;"LPG",VLOOKUP("都市ガス",係数!$B$3:$I$30,8,FALSE),VLOOKUP("液化石油ガス（LPG）",係数!$B$3:$I$30,8,FALSE)/0.458)</f>
        <v>2.0500000000000002E-3</v>
      </c>
      <c r="AV24" s="537">
        <f>IF(AS24&lt;&gt;"LPG",VLOOKUP("都市ガス",係数!$B$3:$C$30,2,FALSE),VLOOKUP("液化石油ガス（LPG）",係数!$B$3:$C$30,2,FALSE)/0.458)</f>
        <v>45</v>
      </c>
      <c r="AW24" s="535">
        <f t="shared" ref="AW24:AW42" si="16">AA24</f>
        <v>0</v>
      </c>
      <c r="AX24" s="535">
        <f t="shared" si="13"/>
        <v>0</v>
      </c>
      <c r="AY24" s="536">
        <f>IF(AW24&lt;&gt;"LPG",VLOOKUP("都市ガス",係数!$B$3:$I$30,8,FALSE),VLOOKUP("液化石油ガス（LPG）",係数!$B$3:$I$30,8,FALSE)/0.458)</f>
        <v>2.0500000000000002E-3</v>
      </c>
      <c r="AZ24" s="538">
        <f>IF(AW24&lt;&gt;"LPG",VLOOKUP("都市ガス",係数!$B$3:$C$30,2,FALSE),VLOOKUP("液化石油ガス（LPG）",係数!$B$3:$C$30,2,FALSE)/0.458)</f>
        <v>45</v>
      </c>
    </row>
    <row r="25" spans="2:52">
      <c r="B25" s="59" t="s">
        <v>44</v>
      </c>
      <c r="C25" s="10"/>
      <c r="D25" s="3"/>
      <c r="E25" s="10"/>
      <c r="F25" s="109"/>
      <c r="G25" s="4"/>
      <c r="H25" s="442"/>
      <c r="I25" s="319"/>
      <c r="J25" s="319"/>
      <c r="K25" s="103"/>
      <c r="L25" s="103"/>
      <c r="M25" s="531">
        <f t="shared" si="14"/>
        <v>0</v>
      </c>
      <c r="N25" s="443"/>
      <c r="O25" s="319"/>
      <c r="P25" s="319"/>
      <c r="Q25" s="103"/>
      <c r="R25" s="103"/>
      <c r="S25" s="531">
        <f>Q25*R25</f>
        <v>0</v>
      </c>
      <c r="T25" s="369">
        <f t="shared" si="2"/>
        <v>0</v>
      </c>
      <c r="U25" s="43">
        <f t="shared" si="3"/>
        <v>0</v>
      </c>
      <c r="V25" s="362">
        <f>T25*係数!$I$30+U25*$AU25</f>
        <v>0</v>
      </c>
      <c r="W25" s="362">
        <f>(T25*係数!$C$30+U25*$AV25)*0.0000258</f>
        <v>0</v>
      </c>
      <c r="X25" s="10"/>
      <c r="Y25" s="3"/>
      <c r="Z25" s="4"/>
      <c r="AA25" s="4"/>
      <c r="AB25" s="442"/>
      <c r="AC25" s="319"/>
      <c r="AD25" s="319"/>
      <c r="AE25" s="442"/>
      <c r="AF25" s="319"/>
      <c r="AG25" s="319"/>
      <c r="AH25" s="327">
        <f t="shared" si="4"/>
        <v>0</v>
      </c>
      <c r="AI25" s="43">
        <f t="shared" si="5"/>
        <v>0</v>
      </c>
      <c r="AJ25" s="351">
        <f>AH25*係数!$I$30+AI25*$AY25</f>
        <v>0</v>
      </c>
      <c r="AK25" s="351">
        <f>(AH25*係数!$C$30+AI25*$AZ25)*0.0000258</f>
        <v>0</v>
      </c>
      <c r="AL25" s="282">
        <f t="shared" si="6"/>
        <v>0</v>
      </c>
      <c r="AM25" s="357">
        <f t="shared" si="7"/>
        <v>0</v>
      </c>
      <c r="AN25" s="358">
        <f t="shared" si="8"/>
        <v>0</v>
      </c>
      <c r="AO25" s="359">
        <f t="shared" si="9"/>
        <v>0</v>
      </c>
      <c r="AQ25" s="533">
        <f t="shared" si="10"/>
        <v>0</v>
      </c>
      <c r="AR25" s="534">
        <f t="shared" si="15"/>
        <v>1</v>
      </c>
      <c r="AS25" s="535">
        <f t="shared" si="11"/>
        <v>0</v>
      </c>
      <c r="AT25" s="535">
        <f t="shared" si="12"/>
        <v>0</v>
      </c>
      <c r="AU25" s="536">
        <f>IF(AS25&lt;&gt;"LPG",VLOOKUP("都市ガス",係数!$B$3:$I$30,8,FALSE),VLOOKUP("液化石油ガス（LPG）",係数!$B$3:$I$30,8,FALSE)/0.458)</f>
        <v>2.0500000000000002E-3</v>
      </c>
      <c r="AV25" s="537">
        <f>IF(AS25&lt;&gt;"LPG",VLOOKUP("都市ガス",係数!$B$3:$C$30,2,FALSE),VLOOKUP("液化石油ガス（LPG）",係数!$B$3:$C$30,2,FALSE)/0.458)</f>
        <v>45</v>
      </c>
      <c r="AW25" s="535">
        <f t="shared" si="16"/>
        <v>0</v>
      </c>
      <c r="AX25" s="535">
        <f t="shared" si="13"/>
        <v>0</v>
      </c>
      <c r="AY25" s="536">
        <f>IF(AW25&lt;&gt;"LPG",VLOOKUP("都市ガス",係数!$B$3:$I$30,8,FALSE),VLOOKUP("液化石油ガス（LPG）",係数!$B$3:$I$30,8,FALSE)/0.458)</f>
        <v>2.0500000000000002E-3</v>
      </c>
      <c r="AZ25" s="538">
        <f>IF(AW25&lt;&gt;"LPG",VLOOKUP("都市ガス",係数!$B$3:$C$30,2,FALSE),VLOOKUP("液化石油ガス（LPG）",係数!$B$3:$C$30,2,FALSE)/0.458)</f>
        <v>45</v>
      </c>
    </row>
    <row r="26" spans="2:52">
      <c r="B26" s="59" t="s">
        <v>45</v>
      </c>
      <c r="C26" s="10"/>
      <c r="D26" s="3"/>
      <c r="E26" s="10"/>
      <c r="F26" s="109"/>
      <c r="G26" s="4"/>
      <c r="H26" s="442"/>
      <c r="I26" s="319"/>
      <c r="J26" s="319"/>
      <c r="K26" s="103"/>
      <c r="L26" s="103"/>
      <c r="M26" s="531">
        <f t="shared" si="14"/>
        <v>0</v>
      </c>
      <c r="N26" s="442"/>
      <c r="O26" s="319"/>
      <c r="P26" s="319"/>
      <c r="Q26" s="103"/>
      <c r="R26" s="103"/>
      <c r="S26" s="531">
        <f t="shared" ref="S26:S42" si="17">Q26*R26</f>
        <v>0</v>
      </c>
      <c r="T26" s="369">
        <f t="shared" si="2"/>
        <v>0</v>
      </c>
      <c r="U26" s="43">
        <f t="shared" si="3"/>
        <v>0</v>
      </c>
      <c r="V26" s="362">
        <f>T26*係数!$I$30+U26*$AU26</f>
        <v>0</v>
      </c>
      <c r="W26" s="362">
        <f>(T26*係数!$C$30+U26*$AV26)*0.0000258</f>
        <v>0</v>
      </c>
      <c r="X26" s="10"/>
      <c r="Y26" s="3"/>
      <c r="Z26" s="4"/>
      <c r="AA26" s="4"/>
      <c r="AB26" s="442"/>
      <c r="AC26" s="319"/>
      <c r="AD26" s="319"/>
      <c r="AE26" s="442"/>
      <c r="AF26" s="319"/>
      <c r="AG26" s="319"/>
      <c r="AH26" s="327">
        <f t="shared" si="4"/>
        <v>0</v>
      </c>
      <c r="AI26" s="43">
        <f t="shared" si="5"/>
        <v>0</v>
      </c>
      <c r="AJ26" s="351">
        <f>AH26*係数!$I$30+AI26*$AY26</f>
        <v>0</v>
      </c>
      <c r="AK26" s="351">
        <f>(AH26*係数!$C$30+AI26*$AZ26)*0.0000258</f>
        <v>0</v>
      </c>
      <c r="AL26" s="282">
        <f t="shared" si="6"/>
        <v>0</v>
      </c>
      <c r="AM26" s="357">
        <f t="shared" si="7"/>
        <v>0</v>
      </c>
      <c r="AN26" s="358">
        <f t="shared" si="8"/>
        <v>0</v>
      </c>
      <c r="AO26" s="359">
        <f t="shared" si="9"/>
        <v>0</v>
      </c>
      <c r="AQ26" s="533">
        <f t="shared" si="10"/>
        <v>0</v>
      </c>
      <c r="AR26" s="534">
        <f t="shared" si="15"/>
        <v>1</v>
      </c>
      <c r="AS26" s="535">
        <f t="shared" si="11"/>
        <v>0</v>
      </c>
      <c r="AT26" s="535">
        <f t="shared" si="12"/>
        <v>0</v>
      </c>
      <c r="AU26" s="536">
        <f>IF(AS26&lt;&gt;"LPG",VLOOKUP("都市ガス",係数!$B$3:$I$30,8,FALSE),VLOOKUP("液化石油ガス（LPG）",係数!$B$3:$I$30,8,FALSE)/0.458)</f>
        <v>2.0500000000000002E-3</v>
      </c>
      <c r="AV26" s="537">
        <f>IF(AS26&lt;&gt;"LPG",VLOOKUP("都市ガス",係数!$B$3:$C$30,2,FALSE),VLOOKUP("液化石油ガス（LPG）",係数!$B$3:$C$30,2,FALSE)/0.458)</f>
        <v>45</v>
      </c>
      <c r="AW26" s="535">
        <f t="shared" si="16"/>
        <v>0</v>
      </c>
      <c r="AX26" s="535">
        <f t="shared" si="13"/>
        <v>0</v>
      </c>
      <c r="AY26" s="536">
        <f>IF(AW26&lt;&gt;"LPG",VLOOKUP("都市ガス",係数!$B$3:$I$30,8,FALSE),VLOOKUP("液化石油ガス（LPG）",係数!$B$3:$I$30,8,FALSE)/0.458)</f>
        <v>2.0500000000000002E-3</v>
      </c>
      <c r="AZ26" s="538">
        <f>IF(AW26&lt;&gt;"LPG",VLOOKUP("都市ガス",係数!$B$3:$C$30,2,FALSE),VLOOKUP("液化石油ガス（LPG）",係数!$B$3:$C$30,2,FALSE)/0.458)</f>
        <v>45</v>
      </c>
    </row>
    <row r="27" spans="2:52">
      <c r="B27" s="59" t="s">
        <v>46</v>
      </c>
      <c r="C27" s="10"/>
      <c r="D27" s="3"/>
      <c r="E27" s="10"/>
      <c r="F27" s="109"/>
      <c r="G27" s="4"/>
      <c r="H27" s="442"/>
      <c r="I27" s="319"/>
      <c r="J27" s="319"/>
      <c r="K27" s="103"/>
      <c r="L27" s="103"/>
      <c r="M27" s="531">
        <f t="shared" si="14"/>
        <v>0</v>
      </c>
      <c r="N27" s="442"/>
      <c r="O27" s="319"/>
      <c r="P27" s="319"/>
      <c r="Q27" s="103"/>
      <c r="R27" s="103"/>
      <c r="S27" s="531">
        <f t="shared" si="17"/>
        <v>0</v>
      </c>
      <c r="T27" s="369">
        <f t="shared" si="2"/>
        <v>0</v>
      </c>
      <c r="U27" s="43">
        <f t="shared" si="3"/>
        <v>0</v>
      </c>
      <c r="V27" s="362">
        <f>T27*係数!$I$30+U27*$AU27</f>
        <v>0</v>
      </c>
      <c r="W27" s="362">
        <f>(T27*係数!$C$30+U27*$AV27)*0.0000258</f>
        <v>0</v>
      </c>
      <c r="X27" s="10"/>
      <c r="Y27" s="3"/>
      <c r="Z27" s="4"/>
      <c r="AA27" s="4"/>
      <c r="AB27" s="442"/>
      <c r="AC27" s="319"/>
      <c r="AD27" s="319"/>
      <c r="AE27" s="442"/>
      <c r="AF27" s="319"/>
      <c r="AG27" s="319"/>
      <c r="AH27" s="327">
        <f t="shared" si="4"/>
        <v>0</v>
      </c>
      <c r="AI27" s="43">
        <f t="shared" si="5"/>
        <v>0</v>
      </c>
      <c r="AJ27" s="351">
        <f>AH27*係数!$I$30+AI27*$AY27</f>
        <v>0</v>
      </c>
      <c r="AK27" s="351">
        <f>(AH27*係数!$C$30+AI27*$AZ27)*0.0000258</f>
        <v>0</v>
      </c>
      <c r="AL27" s="282">
        <f t="shared" si="6"/>
        <v>0</v>
      </c>
      <c r="AM27" s="357">
        <f t="shared" si="7"/>
        <v>0</v>
      </c>
      <c r="AN27" s="358">
        <f t="shared" si="8"/>
        <v>0</v>
      </c>
      <c r="AO27" s="359">
        <f t="shared" si="9"/>
        <v>0</v>
      </c>
      <c r="AQ27" s="533">
        <f t="shared" si="10"/>
        <v>0</v>
      </c>
      <c r="AR27" s="534">
        <f t="shared" si="15"/>
        <v>1</v>
      </c>
      <c r="AS27" s="535">
        <f t="shared" si="11"/>
        <v>0</v>
      </c>
      <c r="AT27" s="535">
        <f t="shared" si="12"/>
        <v>0</v>
      </c>
      <c r="AU27" s="536">
        <f>IF(AS27&lt;&gt;"LPG",VLOOKUP("都市ガス",係数!$B$3:$I$30,8,FALSE),VLOOKUP("液化石油ガス（LPG）",係数!$B$3:$I$30,8,FALSE)/0.458)</f>
        <v>2.0500000000000002E-3</v>
      </c>
      <c r="AV27" s="537">
        <f>IF(AS27&lt;&gt;"LPG",VLOOKUP("都市ガス",係数!$B$3:$C$30,2,FALSE),VLOOKUP("液化石油ガス（LPG）",係数!$B$3:$C$30,2,FALSE)/0.458)</f>
        <v>45</v>
      </c>
      <c r="AW27" s="535">
        <f t="shared" si="16"/>
        <v>0</v>
      </c>
      <c r="AX27" s="535">
        <f t="shared" si="13"/>
        <v>0</v>
      </c>
      <c r="AY27" s="536">
        <f>IF(AW27&lt;&gt;"LPG",VLOOKUP("都市ガス",係数!$B$3:$I$30,8,FALSE),VLOOKUP("液化石油ガス（LPG）",係数!$B$3:$I$30,8,FALSE)/0.458)</f>
        <v>2.0500000000000002E-3</v>
      </c>
      <c r="AZ27" s="538">
        <f>IF(AW27&lt;&gt;"LPG",VLOOKUP("都市ガス",係数!$B$3:$C$30,2,FALSE),VLOOKUP("液化石油ガス（LPG）",係数!$B$3:$C$30,2,FALSE)/0.458)</f>
        <v>45</v>
      </c>
    </row>
    <row r="28" spans="2:52">
      <c r="B28" s="59" t="s">
        <v>47</v>
      </c>
      <c r="C28" s="10"/>
      <c r="D28" s="3"/>
      <c r="E28" s="10"/>
      <c r="F28" s="109"/>
      <c r="G28" s="4"/>
      <c r="H28" s="442"/>
      <c r="I28" s="319"/>
      <c r="J28" s="319"/>
      <c r="K28" s="103"/>
      <c r="L28" s="103"/>
      <c r="M28" s="531">
        <f t="shared" si="14"/>
        <v>0</v>
      </c>
      <c r="N28" s="442"/>
      <c r="O28" s="319"/>
      <c r="P28" s="319"/>
      <c r="Q28" s="103"/>
      <c r="R28" s="103"/>
      <c r="S28" s="531">
        <f t="shared" si="17"/>
        <v>0</v>
      </c>
      <c r="T28" s="369">
        <f t="shared" si="2"/>
        <v>0</v>
      </c>
      <c r="U28" s="43">
        <f t="shared" si="3"/>
        <v>0</v>
      </c>
      <c r="V28" s="362">
        <f>T28*係数!$I$30+U28*$AU28</f>
        <v>0</v>
      </c>
      <c r="W28" s="362">
        <f>(T28*係数!$C$30+U28*$AV28)*0.0000258</f>
        <v>0</v>
      </c>
      <c r="X28" s="10"/>
      <c r="Y28" s="3"/>
      <c r="Z28" s="4"/>
      <c r="AA28" s="4"/>
      <c r="AB28" s="442"/>
      <c r="AC28" s="319"/>
      <c r="AD28" s="319"/>
      <c r="AE28" s="442"/>
      <c r="AF28" s="319"/>
      <c r="AG28" s="319"/>
      <c r="AH28" s="327">
        <f t="shared" si="4"/>
        <v>0</v>
      </c>
      <c r="AI28" s="43">
        <f t="shared" si="5"/>
        <v>0</v>
      </c>
      <c r="AJ28" s="351">
        <f>AH28*係数!$I$30+AI28*$AY28</f>
        <v>0</v>
      </c>
      <c r="AK28" s="351">
        <f>(AH28*係数!$C$30+AI28*$AZ28)*0.0000258</f>
        <v>0</v>
      </c>
      <c r="AL28" s="282">
        <f t="shared" si="6"/>
        <v>0</v>
      </c>
      <c r="AM28" s="357">
        <f t="shared" si="7"/>
        <v>0</v>
      </c>
      <c r="AN28" s="358">
        <f t="shared" si="8"/>
        <v>0</v>
      </c>
      <c r="AO28" s="359">
        <f t="shared" si="9"/>
        <v>0</v>
      </c>
      <c r="AQ28" s="533">
        <f t="shared" si="10"/>
        <v>0</v>
      </c>
      <c r="AR28" s="534">
        <f t="shared" si="15"/>
        <v>1</v>
      </c>
      <c r="AS28" s="535">
        <f t="shared" si="11"/>
        <v>0</v>
      </c>
      <c r="AT28" s="535">
        <f t="shared" si="12"/>
        <v>0</v>
      </c>
      <c r="AU28" s="536">
        <f>IF(AS28&lt;&gt;"LPG",VLOOKUP("都市ガス",係数!$B$3:$I$30,8,FALSE),VLOOKUP("液化石油ガス（LPG）",係数!$B$3:$I$30,8,FALSE)/0.458)</f>
        <v>2.0500000000000002E-3</v>
      </c>
      <c r="AV28" s="537">
        <f>IF(AS28&lt;&gt;"LPG",VLOOKUP("都市ガス",係数!$B$3:$C$30,2,FALSE),VLOOKUP("液化石油ガス（LPG）",係数!$B$3:$C$30,2,FALSE)/0.458)</f>
        <v>45</v>
      </c>
      <c r="AW28" s="535">
        <f t="shared" si="16"/>
        <v>0</v>
      </c>
      <c r="AX28" s="535">
        <f t="shared" si="13"/>
        <v>0</v>
      </c>
      <c r="AY28" s="536">
        <f>IF(AW28&lt;&gt;"LPG",VLOOKUP("都市ガス",係数!$B$3:$I$30,8,FALSE),VLOOKUP("液化石油ガス（LPG）",係数!$B$3:$I$30,8,FALSE)/0.458)</f>
        <v>2.0500000000000002E-3</v>
      </c>
      <c r="AZ28" s="538">
        <f>IF(AW28&lt;&gt;"LPG",VLOOKUP("都市ガス",係数!$B$3:$C$30,2,FALSE),VLOOKUP("液化石油ガス（LPG）",係数!$B$3:$C$30,2,FALSE)/0.458)</f>
        <v>45</v>
      </c>
    </row>
    <row r="29" spans="2:52">
      <c r="B29" s="59" t="s">
        <v>48</v>
      </c>
      <c r="C29" s="10"/>
      <c r="D29" s="3"/>
      <c r="E29" s="10"/>
      <c r="F29" s="109"/>
      <c r="G29" s="4"/>
      <c r="H29" s="442"/>
      <c r="I29" s="319"/>
      <c r="J29" s="319"/>
      <c r="K29" s="103"/>
      <c r="L29" s="103"/>
      <c r="M29" s="531">
        <f t="shared" si="14"/>
        <v>0</v>
      </c>
      <c r="N29" s="442"/>
      <c r="O29" s="319"/>
      <c r="P29" s="319"/>
      <c r="Q29" s="103"/>
      <c r="R29" s="103"/>
      <c r="S29" s="531">
        <f>Q29*R29</f>
        <v>0</v>
      </c>
      <c r="T29" s="369">
        <f t="shared" si="2"/>
        <v>0</v>
      </c>
      <c r="U29" s="43">
        <f t="shared" si="3"/>
        <v>0</v>
      </c>
      <c r="V29" s="362">
        <f>T29*係数!$I$30+U29*$AU29</f>
        <v>0</v>
      </c>
      <c r="W29" s="362">
        <f>(T29*係数!$C$30+U29*$AV29)*0.0000258</f>
        <v>0</v>
      </c>
      <c r="X29" s="10"/>
      <c r="Y29" s="3"/>
      <c r="Z29" s="4"/>
      <c r="AA29" s="4"/>
      <c r="AB29" s="442"/>
      <c r="AC29" s="319"/>
      <c r="AD29" s="319"/>
      <c r="AE29" s="442"/>
      <c r="AF29" s="319"/>
      <c r="AG29" s="319"/>
      <c r="AH29" s="327">
        <f t="shared" si="4"/>
        <v>0</v>
      </c>
      <c r="AI29" s="43">
        <f t="shared" si="5"/>
        <v>0</v>
      </c>
      <c r="AJ29" s="351">
        <f>AH29*係数!$I$30+AI29*$AY29</f>
        <v>0</v>
      </c>
      <c r="AK29" s="351">
        <f>(AH29*係数!$C$30+AI29*$AZ29)*0.0000258</f>
        <v>0</v>
      </c>
      <c r="AL29" s="282">
        <f t="shared" si="6"/>
        <v>0</v>
      </c>
      <c r="AM29" s="357">
        <f t="shared" si="7"/>
        <v>0</v>
      </c>
      <c r="AN29" s="358">
        <f t="shared" si="8"/>
        <v>0</v>
      </c>
      <c r="AO29" s="359">
        <f t="shared" si="9"/>
        <v>0</v>
      </c>
      <c r="AQ29" s="533">
        <f t="shared" si="10"/>
        <v>0</v>
      </c>
      <c r="AR29" s="534">
        <f t="shared" si="15"/>
        <v>1</v>
      </c>
      <c r="AS29" s="535">
        <f t="shared" si="11"/>
        <v>0</v>
      </c>
      <c r="AT29" s="535">
        <f t="shared" si="12"/>
        <v>0</v>
      </c>
      <c r="AU29" s="536">
        <f>IF(AS29&lt;&gt;"LPG",VLOOKUP("都市ガス",係数!$B$3:$I$30,8,FALSE),VLOOKUP("液化石油ガス（LPG）",係数!$B$3:$I$30,8,FALSE)/0.458)</f>
        <v>2.0500000000000002E-3</v>
      </c>
      <c r="AV29" s="537">
        <f>IF(AS29&lt;&gt;"LPG",VLOOKUP("都市ガス",係数!$B$3:$C$30,2,FALSE),VLOOKUP("液化石油ガス（LPG）",係数!$B$3:$C$30,2,FALSE)/0.458)</f>
        <v>45</v>
      </c>
      <c r="AW29" s="535">
        <f t="shared" si="16"/>
        <v>0</v>
      </c>
      <c r="AX29" s="535">
        <f t="shared" si="13"/>
        <v>0</v>
      </c>
      <c r="AY29" s="536">
        <f>IF(AW29&lt;&gt;"LPG",VLOOKUP("都市ガス",係数!$B$3:$I$30,8,FALSE),VLOOKUP("液化石油ガス（LPG）",係数!$B$3:$I$30,8,FALSE)/0.458)</f>
        <v>2.0500000000000002E-3</v>
      </c>
      <c r="AZ29" s="538">
        <f>IF(AW29&lt;&gt;"LPG",VLOOKUP("都市ガス",係数!$B$3:$C$30,2,FALSE),VLOOKUP("液化石油ガス（LPG）",係数!$B$3:$C$30,2,FALSE)/0.458)</f>
        <v>45</v>
      </c>
    </row>
    <row r="30" spans="2:52">
      <c r="B30" s="59" t="s">
        <v>49</v>
      </c>
      <c r="C30" s="10"/>
      <c r="D30" s="3"/>
      <c r="E30" s="10"/>
      <c r="F30" s="109"/>
      <c r="G30" s="4"/>
      <c r="H30" s="442"/>
      <c r="I30" s="319"/>
      <c r="J30" s="319"/>
      <c r="K30" s="103"/>
      <c r="L30" s="103"/>
      <c r="M30" s="531">
        <f t="shared" si="14"/>
        <v>0</v>
      </c>
      <c r="N30" s="442"/>
      <c r="O30" s="319"/>
      <c r="P30" s="319"/>
      <c r="Q30" s="103"/>
      <c r="R30" s="103"/>
      <c r="S30" s="531">
        <f t="shared" si="17"/>
        <v>0</v>
      </c>
      <c r="T30" s="369">
        <f t="shared" si="2"/>
        <v>0</v>
      </c>
      <c r="U30" s="43">
        <f t="shared" si="3"/>
        <v>0</v>
      </c>
      <c r="V30" s="362">
        <f>T30*係数!$I$30+U30*$AU30</f>
        <v>0</v>
      </c>
      <c r="W30" s="362">
        <f>(T30*係数!$C$30+U30*$AV30)*0.0000258</f>
        <v>0</v>
      </c>
      <c r="X30" s="10"/>
      <c r="Y30" s="3"/>
      <c r="Z30" s="4"/>
      <c r="AA30" s="4"/>
      <c r="AB30" s="442"/>
      <c r="AC30" s="319"/>
      <c r="AD30" s="319"/>
      <c r="AE30" s="442"/>
      <c r="AF30" s="319"/>
      <c r="AG30" s="319"/>
      <c r="AH30" s="327">
        <f t="shared" si="4"/>
        <v>0</v>
      </c>
      <c r="AI30" s="43">
        <f t="shared" si="5"/>
        <v>0</v>
      </c>
      <c r="AJ30" s="351">
        <f>AH30*係数!$I$30+AI30*$AY30</f>
        <v>0</v>
      </c>
      <c r="AK30" s="351">
        <f>(AH30*係数!$C$30+AI30*$AZ30)*0.0000258</f>
        <v>0</v>
      </c>
      <c r="AL30" s="282">
        <f t="shared" si="6"/>
        <v>0</v>
      </c>
      <c r="AM30" s="357">
        <f t="shared" si="7"/>
        <v>0</v>
      </c>
      <c r="AN30" s="358">
        <f t="shared" si="8"/>
        <v>0</v>
      </c>
      <c r="AO30" s="359">
        <f t="shared" si="9"/>
        <v>0</v>
      </c>
      <c r="AQ30" s="533">
        <f t="shared" si="10"/>
        <v>0</v>
      </c>
      <c r="AR30" s="534">
        <f t="shared" si="15"/>
        <v>1</v>
      </c>
      <c r="AS30" s="535">
        <f t="shared" si="11"/>
        <v>0</v>
      </c>
      <c r="AT30" s="535">
        <f t="shared" si="12"/>
        <v>0</v>
      </c>
      <c r="AU30" s="536">
        <f>IF(AS30&lt;&gt;"LPG",VLOOKUP("都市ガス",係数!$B$3:$I$30,8,FALSE),VLOOKUP("液化石油ガス（LPG）",係数!$B$3:$I$30,8,FALSE)/0.458)</f>
        <v>2.0500000000000002E-3</v>
      </c>
      <c r="AV30" s="537">
        <f>IF(AS30&lt;&gt;"LPG",VLOOKUP("都市ガス",係数!$B$3:$C$30,2,FALSE),VLOOKUP("液化石油ガス（LPG）",係数!$B$3:$C$30,2,FALSE)/0.458)</f>
        <v>45</v>
      </c>
      <c r="AW30" s="535">
        <f t="shared" si="16"/>
        <v>0</v>
      </c>
      <c r="AX30" s="535">
        <f t="shared" si="13"/>
        <v>0</v>
      </c>
      <c r="AY30" s="536">
        <f>IF(AW30&lt;&gt;"LPG",VLOOKUP("都市ガス",係数!$B$3:$I$30,8,FALSE),VLOOKUP("液化石油ガス（LPG）",係数!$B$3:$I$30,8,FALSE)/0.458)</f>
        <v>2.0500000000000002E-3</v>
      </c>
      <c r="AZ30" s="538">
        <f>IF(AW30&lt;&gt;"LPG",VLOOKUP("都市ガス",係数!$B$3:$C$30,2,FALSE),VLOOKUP("液化石油ガス（LPG）",係数!$B$3:$C$30,2,FALSE)/0.458)</f>
        <v>45</v>
      </c>
    </row>
    <row r="31" spans="2:52">
      <c r="B31" s="59" t="s">
        <v>50</v>
      </c>
      <c r="C31" s="10"/>
      <c r="D31" s="3"/>
      <c r="E31" s="10"/>
      <c r="F31" s="109"/>
      <c r="G31" s="4"/>
      <c r="H31" s="442"/>
      <c r="I31" s="319"/>
      <c r="J31" s="319"/>
      <c r="K31" s="103"/>
      <c r="L31" s="103"/>
      <c r="M31" s="531">
        <f t="shared" si="14"/>
        <v>0</v>
      </c>
      <c r="N31" s="442"/>
      <c r="O31" s="319"/>
      <c r="P31" s="319"/>
      <c r="Q31" s="103"/>
      <c r="R31" s="103"/>
      <c r="S31" s="531">
        <f t="shared" si="17"/>
        <v>0</v>
      </c>
      <c r="T31" s="369">
        <f t="shared" si="2"/>
        <v>0</v>
      </c>
      <c r="U31" s="43">
        <f t="shared" si="3"/>
        <v>0</v>
      </c>
      <c r="V31" s="362">
        <f>T31*係数!$I$30+U31*$AU31</f>
        <v>0</v>
      </c>
      <c r="W31" s="362">
        <f>(T31*係数!$C$30+U31*$AV31)*0.0000258</f>
        <v>0</v>
      </c>
      <c r="X31" s="10"/>
      <c r="Y31" s="3"/>
      <c r="Z31" s="4"/>
      <c r="AA31" s="4"/>
      <c r="AB31" s="442"/>
      <c r="AC31" s="319"/>
      <c r="AD31" s="319"/>
      <c r="AE31" s="442"/>
      <c r="AF31" s="319"/>
      <c r="AG31" s="319"/>
      <c r="AH31" s="327">
        <f t="shared" si="4"/>
        <v>0</v>
      </c>
      <c r="AI31" s="43">
        <f t="shared" si="5"/>
        <v>0</v>
      </c>
      <c r="AJ31" s="351">
        <f>AH31*係数!$I$30+AI31*$AY31</f>
        <v>0</v>
      </c>
      <c r="AK31" s="351">
        <f>(AH31*係数!$C$30+AI31*$AZ31)*0.0000258</f>
        <v>0</v>
      </c>
      <c r="AL31" s="282">
        <f t="shared" si="6"/>
        <v>0</v>
      </c>
      <c r="AM31" s="357">
        <f t="shared" si="7"/>
        <v>0</v>
      </c>
      <c r="AN31" s="358">
        <f t="shared" si="8"/>
        <v>0</v>
      </c>
      <c r="AO31" s="359">
        <f t="shared" si="9"/>
        <v>0</v>
      </c>
      <c r="AQ31" s="533">
        <f t="shared" si="10"/>
        <v>0</v>
      </c>
      <c r="AR31" s="534">
        <f t="shared" si="15"/>
        <v>1</v>
      </c>
      <c r="AS31" s="535">
        <f t="shared" si="11"/>
        <v>0</v>
      </c>
      <c r="AT31" s="535">
        <f t="shared" si="12"/>
        <v>0</v>
      </c>
      <c r="AU31" s="536">
        <f>IF(AS31&lt;&gt;"LPG",VLOOKUP("都市ガス",係数!$B$3:$I$30,8,FALSE),VLOOKUP("液化石油ガス（LPG）",係数!$B$3:$I$30,8,FALSE)/0.458)</f>
        <v>2.0500000000000002E-3</v>
      </c>
      <c r="AV31" s="537">
        <f>IF(AS31&lt;&gt;"LPG",VLOOKUP("都市ガス",係数!$B$3:$C$30,2,FALSE),VLOOKUP("液化石油ガス（LPG）",係数!$B$3:$C$30,2,FALSE)/0.458)</f>
        <v>45</v>
      </c>
      <c r="AW31" s="535">
        <f t="shared" si="16"/>
        <v>0</v>
      </c>
      <c r="AX31" s="535">
        <f t="shared" si="13"/>
        <v>0</v>
      </c>
      <c r="AY31" s="536">
        <f>IF(AW31&lt;&gt;"LPG",VLOOKUP("都市ガス",係数!$B$3:$I$30,8,FALSE),VLOOKUP("液化石油ガス（LPG）",係数!$B$3:$I$30,8,FALSE)/0.458)</f>
        <v>2.0500000000000002E-3</v>
      </c>
      <c r="AZ31" s="538">
        <f>IF(AW31&lt;&gt;"LPG",VLOOKUP("都市ガス",係数!$B$3:$C$30,2,FALSE),VLOOKUP("液化石油ガス（LPG）",係数!$B$3:$C$30,2,FALSE)/0.458)</f>
        <v>45</v>
      </c>
    </row>
    <row r="32" spans="2:52">
      <c r="B32" s="59" t="s">
        <v>51</v>
      </c>
      <c r="C32" s="10"/>
      <c r="D32" s="3"/>
      <c r="E32" s="10"/>
      <c r="F32" s="109"/>
      <c r="G32" s="4"/>
      <c r="H32" s="442"/>
      <c r="I32" s="319"/>
      <c r="J32" s="319"/>
      <c r="K32" s="103"/>
      <c r="L32" s="103"/>
      <c r="M32" s="531">
        <f t="shared" si="14"/>
        <v>0</v>
      </c>
      <c r="N32" s="442"/>
      <c r="O32" s="319"/>
      <c r="P32" s="319"/>
      <c r="Q32" s="103"/>
      <c r="R32" s="103"/>
      <c r="S32" s="531">
        <f t="shared" si="17"/>
        <v>0</v>
      </c>
      <c r="T32" s="369">
        <f t="shared" si="2"/>
        <v>0</v>
      </c>
      <c r="U32" s="43">
        <f t="shared" si="3"/>
        <v>0</v>
      </c>
      <c r="V32" s="362">
        <f>T32*係数!$I$30+U32*$AU32</f>
        <v>0</v>
      </c>
      <c r="W32" s="362">
        <f>(T32*係数!$C$30+U32*$AV32)*0.0000258</f>
        <v>0</v>
      </c>
      <c r="X32" s="10"/>
      <c r="Y32" s="3"/>
      <c r="Z32" s="4"/>
      <c r="AA32" s="4"/>
      <c r="AB32" s="442"/>
      <c r="AC32" s="319"/>
      <c r="AD32" s="319"/>
      <c r="AE32" s="442"/>
      <c r="AF32" s="319"/>
      <c r="AG32" s="319"/>
      <c r="AH32" s="327">
        <f t="shared" si="4"/>
        <v>0</v>
      </c>
      <c r="AI32" s="43">
        <f t="shared" si="5"/>
        <v>0</v>
      </c>
      <c r="AJ32" s="351">
        <f>AH32*係数!$I$30+AI32*$AY32</f>
        <v>0</v>
      </c>
      <c r="AK32" s="351">
        <f>(AH32*係数!$C$30+AI32*$AZ32)*0.0000258</f>
        <v>0</v>
      </c>
      <c r="AL32" s="282">
        <f t="shared" si="6"/>
        <v>0</v>
      </c>
      <c r="AM32" s="357">
        <f t="shared" si="7"/>
        <v>0</v>
      </c>
      <c r="AN32" s="358">
        <f t="shared" si="8"/>
        <v>0</v>
      </c>
      <c r="AO32" s="359">
        <f t="shared" si="9"/>
        <v>0</v>
      </c>
      <c r="AQ32" s="533">
        <f t="shared" si="10"/>
        <v>0</v>
      </c>
      <c r="AR32" s="534">
        <f t="shared" si="15"/>
        <v>1</v>
      </c>
      <c r="AS32" s="535">
        <f t="shared" si="11"/>
        <v>0</v>
      </c>
      <c r="AT32" s="535">
        <f t="shared" si="12"/>
        <v>0</v>
      </c>
      <c r="AU32" s="536">
        <f>IF(AS32&lt;&gt;"LPG",VLOOKUP("都市ガス",係数!$B$3:$I$30,8,FALSE),VLOOKUP("液化石油ガス（LPG）",係数!$B$3:$I$30,8,FALSE)/0.458)</f>
        <v>2.0500000000000002E-3</v>
      </c>
      <c r="AV32" s="537">
        <f>IF(AS32&lt;&gt;"LPG",VLOOKUP("都市ガス",係数!$B$3:$C$30,2,FALSE),VLOOKUP("液化石油ガス（LPG）",係数!$B$3:$C$30,2,FALSE)/0.458)</f>
        <v>45</v>
      </c>
      <c r="AW32" s="535">
        <f t="shared" si="16"/>
        <v>0</v>
      </c>
      <c r="AX32" s="535">
        <f t="shared" si="13"/>
        <v>0</v>
      </c>
      <c r="AY32" s="536">
        <f>IF(AW32&lt;&gt;"LPG",VLOOKUP("都市ガス",係数!$B$3:$I$30,8,FALSE),VLOOKUP("液化石油ガス（LPG）",係数!$B$3:$I$30,8,FALSE)/0.458)</f>
        <v>2.0500000000000002E-3</v>
      </c>
      <c r="AZ32" s="538">
        <f>IF(AW32&lt;&gt;"LPG",VLOOKUP("都市ガス",係数!$B$3:$C$30,2,FALSE),VLOOKUP("液化石油ガス（LPG）",係数!$B$3:$C$30,2,FALSE)/0.458)</f>
        <v>45</v>
      </c>
    </row>
    <row r="33" spans="1:52">
      <c r="B33" s="59" t="s">
        <v>52</v>
      </c>
      <c r="C33" s="10"/>
      <c r="D33" s="3"/>
      <c r="E33" s="10"/>
      <c r="F33" s="109"/>
      <c r="G33" s="4"/>
      <c r="H33" s="442"/>
      <c r="I33" s="319"/>
      <c r="J33" s="319"/>
      <c r="K33" s="103"/>
      <c r="L33" s="103"/>
      <c r="M33" s="531">
        <f t="shared" si="14"/>
        <v>0</v>
      </c>
      <c r="N33" s="442"/>
      <c r="O33" s="319"/>
      <c r="P33" s="319"/>
      <c r="Q33" s="103"/>
      <c r="R33" s="103"/>
      <c r="S33" s="531">
        <f t="shared" si="17"/>
        <v>0</v>
      </c>
      <c r="T33" s="369">
        <f t="shared" si="2"/>
        <v>0</v>
      </c>
      <c r="U33" s="43">
        <f t="shared" si="3"/>
        <v>0</v>
      </c>
      <c r="V33" s="362">
        <f>T33*係数!$I$30+U33*$AU33</f>
        <v>0</v>
      </c>
      <c r="W33" s="362">
        <f>(T33*係数!$C$30+U33*$AV33)*0.0000258</f>
        <v>0</v>
      </c>
      <c r="X33" s="10"/>
      <c r="Y33" s="3"/>
      <c r="Z33" s="4"/>
      <c r="AA33" s="4"/>
      <c r="AB33" s="442"/>
      <c r="AC33" s="319"/>
      <c r="AD33" s="319"/>
      <c r="AE33" s="442"/>
      <c r="AF33" s="319"/>
      <c r="AG33" s="319"/>
      <c r="AH33" s="327">
        <f t="shared" si="4"/>
        <v>0</v>
      </c>
      <c r="AI33" s="43">
        <f t="shared" si="5"/>
        <v>0</v>
      </c>
      <c r="AJ33" s="351">
        <f>AH33*係数!$I$30+AI33*$AY33</f>
        <v>0</v>
      </c>
      <c r="AK33" s="351">
        <f>(AH33*係数!$C$30+AI33*$AZ33)*0.0000258</f>
        <v>0</v>
      </c>
      <c r="AL33" s="282">
        <f t="shared" si="6"/>
        <v>0</v>
      </c>
      <c r="AM33" s="357">
        <f t="shared" si="7"/>
        <v>0</v>
      </c>
      <c r="AN33" s="358">
        <f t="shared" si="8"/>
        <v>0</v>
      </c>
      <c r="AO33" s="359">
        <f t="shared" si="9"/>
        <v>0</v>
      </c>
      <c r="AQ33" s="533">
        <f t="shared" si="10"/>
        <v>0</v>
      </c>
      <c r="AR33" s="534">
        <f t="shared" si="15"/>
        <v>1</v>
      </c>
      <c r="AS33" s="535">
        <f t="shared" si="11"/>
        <v>0</v>
      </c>
      <c r="AT33" s="535">
        <f t="shared" si="12"/>
        <v>0</v>
      </c>
      <c r="AU33" s="536">
        <f>IF(AS33&lt;&gt;"LPG",VLOOKUP("都市ガス",係数!$B$3:$I$30,8,FALSE),VLOOKUP("液化石油ガス（LPG）",係数!$B$3:$I$30,8,FALSE)/0.458)</f>
        <v>2.0500000000000002E-3</v>
      </c>
      <c r="AV33" s="537">
        <f>IF(AS33&lt;&gt;"LPG",VLOOKUP("都市ガス",係数!$B$3:$C$30,2,FALSE),VLOOKUP("液化石油ガス（LPG）",係数!$B$3:$C$30,2,FALSE)/0.458)</f>
        <v>45</v>
      </c>
      <c r="AW33" s="535">
        <f t="shared" si="16"/>
        <v>0</v>
      </c>
      <c r="AX33" s="535">
        <f t="shared" si="13"/>
        <v>0</v>
      </c>
      <c r="AY33" s="536">
        <f>IF(AW33&lt;&gt;"LPG",VLOOKUP("都市ガス",係数!$B$3:$I$30,8,FALSE),VLOOKUP("液化石油ガス（LPG）",係数!$B$3:$I$30,8,FALSE)/0.458)</f>
        <v>2.0500000000000002E-3</v>
      </c>
      <c r="AZ33" s="538">
        <f>IF(AW33&lt;&gt;"LPG",VLOOKUP("都市ガス",係数!$B$3:$C$30,2,FALSE),VLOOKUP("液化石油ガス（LPG）",係数!$B$3:$C$30,2,FALSE)/0.458)</f>
        <v>45</v>
      </c>
    </row>
    <row r="34" spans="1:52">
      <c r="B34" s="59" t="s">
        <v>53</v>
      </c>
      <c r="C34" s="10"/>
      <c r="D34" s="3"/>
      <c r="E34" s="10"/>
      <c r="F34" s="109"/>
      <c r="G34" s="4"/>
      <c r="H34" s="442"/>
      <c r="I34" s="319"/>
      <c r="J34" s="319"/>
      <c r="K34" s="103"/>
      <c r="L34" s="103"/>
      <c r="M34" s="531">
        <f t="shared" si="14"/>
        <v>0</v>
      </c>
      <c r="N34" s="442"/>
      <c r="O34" s="319"/>
      <c r="P34" s="319"/>
      <c r="Q34" s="103"/>
      <c r="R34" s="103"/>
      <c r="S34" s="531">
        <f t="shared" si="17"/>
        <v>0</v>
      </c>
      <c r="T34" s="369">
        <f t="shared" si="2"/>
        <v>0</v>
      </c>
      <c r="U34" s="43">
        <f t="shared" si="3"/>
        <v>0</v>
      </c>
      <c r="V34" s="362">
        <f>T34*係数!$I$30+U34*$AU34</f>
        <v>0</v>
      </c>
      <c r="W34" s="362">
        <f>(T34*係数!$C$30+U34*$AV34)*0.0000258</f>
        <v>0</v>
      </c>
      <c r="X34" s="10"/>
      <c r="Y34" s="3"/>
      <c r="Z34" s="4"/>
      <c r="AA34" s="4"/>
      <c r="AB34" s="442"/>
      <c r="AC34" s="319"/>
      <c r="AD34" s="319"/>
      <c r="AE34" s="442"/>
      <c r="AF34" s="319"/>
      <c r="AG34" s="319"/>
      <c r="AH34" s="327">
        <f t="shared" si="4"/>
        <v>0</v>
      </c>
      <c r="AI34" s="43">
        <f t="shared" si="5"/>
        <v>0</v>
      </c>
      <c r="AJ34" s="351">
        <f>AH34*係数!$I$30+AI34*$AY34</f>
        <v>0</v>
      </c>
      <c r="AK34" s="351">
        <f>(AH34*係数!$C$30+AI34*$AZ34)*0.0000258</f>
        <v>0</v>
      </c>
      <c r="AL34" s="282">
        <f t="shared" si="6"/>
        <v>0</v>
      </c>
      <c r="AM34" s="357">
        <f t="shared" si="7"/>
        <v>0</v>
      </c>
      <c r="AN34" s="358">
        <f t="shared" si="8"/>
        <v>0</v>
      </c>
      <c r="AO34" s="359">
        <f t="shared" si="9"/>
        <v>0</v>
      </c>
      <c r="AQ34" s="533">
        <f t="shared" si="10"/>
        <v>0</v>
      </c>
      <c r="AR34" s="534">
        <f t="shared" si="15"/>
        <v>1</v>
      </c>
      <c r="AS34" s="535">
        <f t="shared" si="11"/>
        <v>0</v>
      </c>
      <c r="AT34" s="535">
        <f t="shared" si="12"/>
        <v>0</v>
      </c>
      <c r="AU34" s="536">
        <f>IF(AS34&lt;&gt;"LPG",VLOOKUP("都市ガス",係数!$B$3:$I$30,8,FALSE),VLOOKUP("液化石油ガス（LPG）",係数!$B$3:$I$30,8,FALSE)/0.458)</f>
        <v>2.0500000000000002E-3</v>
      </c>
      <c r="AV34" s="537">
        <f>IF(AS34&lt;&gt;"LPG",VLOOKUP("都市ガス",係数!$B$3:$C$30,2,FALSE),VLOOKUP("液化石油ガス（LPG）",係数!$B$3:$C$30,2,FALSE)/0.458)</f>
        <v>45</v>
      </c>
      <c r="AW34" s="535">
        <f t="shared" si="16"/>
        <v>0</v>
      </c>
      <c r="AX34" s="535">
        <f t="shared" si="13"/>
        <v>0</v>
      </c>
      <c r="AY34" s="536">
        <f>IF(AW34&lt;&gt;"LPG",VLOOKUP("都市ガス",係数!$B$3:$I$30,8,FALSE),VLOOKUP("液化石油ガス（LPG）",係数!$B$3:$I$30,8,FALSE)/0.458)</f>
        <v>2.0500000000000002E-3</v>
      </c>
      <c r="AZ34" s="538">
        <f>IF(AW34&lt;&gt;"LPG",VLOOKUP("都市ガス",係数!$B$3:$C$30,2,FALSE),VLOOKUP("液化石油ガス（LPG）",係数!$B$3:$C$30,2,FALSE)/0.458)</f>
        <v>45</v>
      </c>
    </row>
    <row r="35" spans="1:52">
      <c r="B35" s="59" t="s">
        <v>54</v>
      </c>
      <c r="C35" s="10"/>
      <c r="D35" s="3"/>
      <c r="E35" s="10"/>
      <c r="F35" s="109"/>
      <c r="G35" s="4"/>
      <c r="H35" s="442"/>
      <c r="I35" s="319"/>
      <c r="J35" s="319"/>
      <c r="K35" s="103"/>
      <c r="L35" s="103"/>
      <c r="M35" s="531">
        <f t="shared" si="14"/>
        <v>0</v>
      </c>
      <c r="N35" s="442"/>
      <c r="O35" s="319"/>
      <c r="P35" s="319"/>
      <c r="Q35" s="103"/>
      <c r="R35" s="103"/>
      <c r="S35" s="531">
        <f t="shared" si="17"/>
        <v>0</v>
      </c>
      <c r="T35" s="369">
        <f t="shared" si="2"/>
        <v>0</v>
      </c>
      <c r="U35" s="43">
        <f t="shared" si="3"/>
        <v>0</v>
      </c>
      <c r="V35" s="362">
        <f>T35*係数!$I$30+U35*$AU35</f>
        <v>0</v>
      </c>
      <c r="W35" s="362">
        <f>(T35*係数!$C$30+U35*$AV35)*0.0000258</f>
        <v>0</v>
      </c>
      <c r="X35" s="10"/>
      <c r="Y35" s="3"/>
      <c r="Z35" s="4"/>
      <c r="AA35" s="4"/>
      <c r="AB35" s="442"/>
      <c r="AC35" s="319"/>
      <c r="AD35" s="319"/>
      <c r="AE35" s="442"/>
      <c r="AF35" s="319"/>
      <c r="AG35" s="319"/>
      <c r="AH35" s="327">
        <f t="shared" si="4"/>
        <v>0</v>
      </c>
      <c r="AI35" s="43">
        <f t="shared" si="5"/>
        <v>0</v>
      </c>
      <c r="AJ35" s="351">
        <f>AH35*係数!$I$30+AI35*$AY35</f>
        <v>0</v>
      </c>
      <c r="AK35" s="351">
        <f>(AH35*係数!$C$30+AI35*$AZ35)*0.0000258</f>
        <v>0</v>
      </c>
      <c r="AL35" s="282">
        <f t="shared" si="6"/>
        <v>0</v>
      </c>
      <c r="AM35" s="357">
        <f t="shared" si="7"/>
        <v>0</v>
      </c>
      <c r="AN35" s="358">
        <f t="shared" si="8"/>
        <v>0</v>
      </c>
      <c r="AO35" s="359">
        <f t="shared" si="9"/>
        <v>0</v>
      </c>
      <c r="AQ35" s="533">
        <f t="shared" si="10"/>
        <v>0</v>
      </c>
      <c r="AR35" s="534">
        <f t="shared" si="15"/>
        <v>1</v>
      </c>
      <c r="AS35" s="535">
        <f t="shared" si="11"/>
        <v>0</v>
      </c>
      <c r="AT35" s="535">
        <f t="shared" si="12"/>
        <v>0</v>
      </c>
      <c r="AU35" s="536">
        <f>IF(AS35&lt;&gt;"LPG",VLOOKUP("都市ガス",係数!$B$3:$I$30,8,FALSE),VLOOKUP("液化石油ガス（LPG）",係数!$B$3:$I$30,8,FALSE)/0.458)</f>
        <v>2.0500000000000002E-3</v>
      </c>
      <c r="AV35" s="537">
        <f>IF(AS35&lt;&gt;"LPG",VLOOKUP("都市ガス",係数!$B$3:$C$30,2,FALSE),VLOOKUP("液化石油ガス（LPG）",係数!$B$3:$C$30,2,FALSE)/0.458)</f>
        <v>45</v>
      </c>
      <c r="AW35" s="535">
        <f t="shared" si="16"/>
        <v>0</v>
      </c>
      <c r="AX35" s="535">
        <f t="shared" si="13"/>
        <v>0</v>
      </c>
      <c r="AY35" s="536">
        <f>IF(AW35&lt;&gt;"LPG",VLOOKUP("都市ガス",係数!$B$3:$I$30,8,FALSE),VLOOKUP("液化石油ガス（LPG）",係数!$B$3:$I$30,8,FALSE)/0.458)</f>
        <v>2.0500000000000002E-3</v>
      </c>
      <c r="AZ35" s="538">
        <f>IF(AW35&lt;&gt;"LPG",VLOOKUP("都市ガス",係数!$B$3:$C$30,2,FALSE),VLOOKUP("液化石油ガス（LPG）",係数!$B$3:$C$30,2,FALSE)/0.458)</f>
        <v>45</v>
      </c>
    </row>
    <row r="36" spans="1:52">
      <c r="B36" s="59" t="s">
        <v>55</v>
      </c>
      <c r="C36" s="10"/>
      <c r="D36" s="3"/>
      <c r="E36" s="10"/>
      <c r="F36" s="109"/>
      <c r="G36" s="4"/>
      <c r="H36" s="442"/>
      <c r="I36" s="319"/>
      <c r="J36" s="319"/>
      <c r="K36" s="103"/>
      <c r="L36" s="103"/>
      <c r="M36" s="531">
        <f t="shared" si="14"/>
        <v>0</v>
      </c>
      <c r="N36" s="442"/>
      <c r="O36" s="319"/>
      <c r="P36" s="319"/>
      <c r="Q36" s="103"/>
      <c r="R36" s="103"/>
      <c r="S36" s="531">
        <f t="shared" si="17"/>
        <v>0</v>
      </c>
      <c r="T36" s="369">
        <f t="shared" si="2"/>
        <v>0</v>
      </c>
      <c r="U36" s="43">
        <f t="shared" si="3"/>
        <v>0</v>
      </c>
      <c r="V36" s="362">
        <f>T36*係数!$I$30+U36*$AU36</f>
        <v>0</v>
      </c>
      <c r="W36" s="362">
        <f>(T36*係数!$C$30+U36*$AV36)*0.0000258</f>
        <v>0</v>
      </c>
      <c r="X36" s="10"/>
      <c r="Y36" s="3"/>
      <c r="Z36" s="4"/>
      <c r="AA36" s="4"/>
      <c r="AB36" s="442"/>
      <c r="AC36" s="319"/>
      <c r="AD36" s="319"/>
      <c r="AE36" s="442"/>
      <c r="AF36" s="319"/>
      <c r="AG36" s="319"/>
      <c r="AH36" s="327">
        <f t="shared" si="4"/>
        <v>0</v>
      </c>
      <c r="AI36" s="43">
        <f t="shared" si="5"/>
        <v>0</v>
      </c>
      <c r="AJ36" s="351">
        <f>AH36*係数!$I$30+AI36*$AY36</f>
        <v>0</v>
      </c>
      <c r="AK36" s="351">
        <f>(AH36*係数!$C$30+AI36*$AZ36)*0.0000258</f>
        <v>0</v>
      </c>
      <c r="AL36" s="282">
        <f t="shared" si="6"/>
        <v>0</v>
      </c>
      <c r="AM36" s="357">
        <f t="shared" si="7"/>
        <v>0</v>
      </c>
      <c r="AN36" s="358">
        <f t="shared" si="8"/>
        <v>0</v>
      </c>
      <c r="AO36" s="359">
        <f t="shared" si="9"/>
        <v>0</v>
      </c>
      <c r="AQ36" s="533">
        <f t="shared" si="10"/>
        <v>0</v>
      </c>
      <c r="AR36" s="534">
        <f t="shared" si="15"/>
        <v>1</v>
      </c>
      <c r="AS36" s="535">
        <f t="shared" si="11"/>
        <v>0</v>
      </c>
      <c r="AT36" s="535">
        <f t="shared" si="12"/>
        <v>0</v>
      </c>
      <c r="AU36" s="536">
        <f>IF(AS36&lt;&gt;"LPG",VLOOKUP("都市ガス",係数!$B$3:$I$30,8,FALSE),VLOOKUP("液化石油ガス（LPG）",係数!$B$3:$I$30,8,FALSE)/0.458)</f>
        <v>2.0500000000000002E-3</v>
      </c>
      <c r="AV36" s="537">
        <f>IF(AS36&lt;&gt;"LPG",VLOOKUP("都市ガス",係数!$B$3:$C$30,2,FALSE),VLOOKUP("液化石油ガス（LPG）",係数!$B$3:$C$30,2,FALSE)/0.458)</f>
        <v>45</v>
      </c>
      <c r="AW36" s="535">
        <f t="shared" si="16"/>
        <v>0</v>
      </c>
      <c r="AX36" s="535">
        <f t="shared" si="13"/>
        <v>0</v>
      </c>
      <c r="AY36" s="536">
        <f>IF(AW36&lt;&gt;"LPG",VLOOKUP("都市ガス",係数!$B$3:$I$30,8,FALSE),VLOOKUP("液化石油ガス（LPG）",係数!$B$3:$I$30,8,FALSE)/0.458)</f>
        <v>2.0500000000000002E-3</v>
      </c>
      <c r="AZ36" s="538">
        <f>IF(AW36&lt;&gt;"LPG",VLOOKUP("都市ガス",係数!$B$3:$C$30,2,FALSE),VLOOKUP("液化石油ガス（LPG）",係数!$B$3:$C$30,2,FALSE)/0.458)</f>
        <v>45</v>
      </c>
    </row>
    <row r="37" spans="1:52">
      <c r="B37" s="59" t="s">
        <v>56</v>
      </c>
      <c r="C37" s="10"/>
      <c r="D37" s="3"/>
      <c r="E37" s="10"/>
      <c r="F37" s="109"/>
      <c r="G37" s="4"/>
      <c r="H37" s="442"/>
      <c r="I37" s="319"/>
      <c r="J37" s="319"/>
      <c r="K37" s="103"/>
      <c r="L37" s="103"/>
      <c r="M37" s="531">
        <f t="shared" si="14"/>
        <v>0</v>
      </c>
      <c r="N37" s="442"/>
      <c r="O37" s="319"/>
      <c r="P37" s="319"/>
      <c r="Q37" s="103"/>
      <c r="R37" s="103"/>
      <c r="S37" s="531">
        <f t="shared" si="17"/>
        <v>0</v>
      </c>
      <c r="T37" s="369">
        <f t="shared" si="2"/>
        <v>0</v>
      </c>
      <c r="U37" s="43">
        <f t="shared" si="3"/>
        <v>0</v>
      </c>
      <c r="V37" s="362">
        <f>T37*係数!$I$30+U37*$AU37</f>
        <v>0</v>
      </c>
      <c r="W37" s="362">
        <f>(T37*係数!$C$30+U37*$AV37)*0.0000258</f>
        <v>0</v>
      </c>
      <c r="X37" s="10"/>
      <c r="Y37" s="3"/>
      <c r="Z37" s="4"/>
      <c r="AA37" s="4"/>
      <c r="AB37" s="442"/>
      <c r="AC37" s="319"/>
      <c r="AD37" s="319"/>
      <c r="AE37" s="442"/>
      <c r="AF37" s="319"/>
      <c r="AG37" s="319"/>
      <c r="AH37" s="327">
        <f t="shared" si="4"/>
        <v>0</v>
      </c>
      <c r="AI37" s="43">
        <f t="shared" si="5"/>
        <v>0</v>
      </c>
      <c r="AJ37" s="351">
        <f>AH37*係数!$I$30+AI37*$AY37</f>
        <v>0</v>
      </c>
      <c r="AK37" s="351">
        <f>(AH37*係数!$C$30+AI37*$AZ37)*0.0000258</f>
        <v>0</v>
      </c>
      <c r="AL37" s="282">
        <f t="shared" si="6"/>
        <v>0</v>
      </c>
      <c r="AM37" s="357">
        <f t="shared" si="7"/>
        <v>0</v>
      </c>
      <c r="AN37" s="358">
        <f t="shared" si="8"/>
        <v>0</v>
      </c>
      <c r="AO37" s="359">
        <f t="shared" si="9"/>
        <v>0</v>
      </c>
      <c r="AQ37" s="533">
        <f t="shared" si="10"/>
        <v>0</v>
      </c>
      <c r="AR37" s="534">
        <f t="shared" si="15"/>
        <v>1</v>
      </c>
      <c r="AS37" s="535">
        <f t="shared" si="11"/>
        <v>0</v>
      </c>
      <c r="AT37" s="535">
        <f t="shared" si="12"/>
        <v>0</v>
      </c>
      <c r="AU37" s="536">
        <f>IF(AS37&lt;&gt;"LPG",VLOOKUP("都市ガス",係数!$B$3:$I$30,8,FALSE),VLOOKUP("液化石油ガス（LPG）",係数!$B$3:$I$30,8,FALSE)/0.458)</f>
        <v>2.0500000000000002E-3</v>
      </c>
      <c r="AV37" s="537">
        <f>IF(AS37&lt;&gt;"LPG",VLOOKUP("都市ガス",係数!$B$3:$C$30,2,FALSE),VLOOKUP("液化石油ガス（LPG）",係数!$B$3:$C$30,2,FALSE)/0.458)</f>
        <v>45</v>
      </c>
      <c r="AW37" s="535">
        <f t="shared" si="16"/>
        <v>0</v>
      </c>
      <c r="AX37" s="535">
        <f t="shared" si="13"/>
        <v>0</v>
      </c>
      <c r="AY37" s="536">
        <f>IF(AW37&lt;&gt;"LPG",VLOOKUP("都市ガス",係数!$B$3:$I$30,8,FALSE),VLOOKUP("液化石油ガス（LPG）",係数!$B$3:$I$30,8,FALSE)/0.458)</f>
        <v>2.0500000000000002E-3</v>
      </c>
      <c r="AZ37" s="538">
        <f>IF(AW37&lt;&gt;"LPG",VLOOKUP("都市ガス",係数!$B$3:$C$30,2,FALSE),VLOOKUP("液化石油ガス（LPG）",係数!$B$3:$C$30,2,FALSE)/0.458)</f>
        <v>45</v>
      </c>
    </row>
    <row r="38" spans="1:52">
      <c r="B38" s="59" t="s">
        <v>57</v>
      </c>
      <c r="C38" s="10"/>
      <c r="D38" s="3"/>
      <c r="E38" s="10"/>
      <c r="F38" s="109"/>
      <c r="G38" s="4"/>
      <c r="H38" s="442"/>
      <c r="I38" s="319"/>
      <c r="J38" s="319"/>
      <c r="K38" s="103"/>
      <c r="L38" s="103"/>
      <c r="M38" s="531">
        <f t="shared" si="14"/>
        <v>0</v>
      </c>
      <c r="N38" s="442"/>
      <c r="O38" s="319"/>
      <c r="P38" s="319"/>
      <c r="Q38" s="103"/>
      <c r="R38" s="103"/>
      <c r="S38" s="531">
        <f t="shared" si="17"/>
        <v>0</v>
      </c>
      <c r="T38" s="369">
        <f t="shared" si="2"/>
        <v>0</v>
      </c>
      <c r="U38" s="43">
        <f t="shared" si="3"/>
        <v>0</v>
      </c>
      <c r="V38" s="362">
        <f>T38*係数!$I$30+U38*$AU38</f>
        <v>0</v>
      </c>
      <c r="W38" s="362">
        <f>(T38*係数!$C$30+U38*$AV38)*0.0000258</f>
        <v>0</v>
      </c>
      <c r="X38" s="10"/>
      <c r="Y38" s="3"/>
      <c r="Z38" s="4"/>
      <c r="AA38" s="4"/>
      <c r="AB38" s="442"/>
      <c r="AC38" s="319"/>
      <c r="AD38" s="319"/>
      <c r="AE38" s="442"/>
      <c r="AF38" s="319"/>
      <c r="AG38" s="319"/>
      <c r="AH38" s="327">
        <f t="shared" si="4"/>
        <v>0</v>
      </c>
      <c r="AI38" s="43">
        <f t="shared" si="5"/>
        <v>0</v>
      </c>
      <c r="AJ38" s="351">
        <f>AH38*係数!$I$30+AI38*$AY38</f>
        <v>0</v>
      </c>
      <c r="AK38" s="351">
        <f>(AH38*係数!$C$30+AI38*$AZ38)*0.0000258</f>
        <v>0</v>
      </c>
      <c r="AL38" s="282">
        <f t="shared" si="6"/>
        <v>0</v>
      </c>
      <c r="AM38" s="357">
        <f t="shared" si="7"/>
        <v>0</v>
      </c>
      <c r="AN38" s="358">
        <f t="shared" si="8"/>
        <v>0</v>
      </c>
      <c r="AO38" s="359">
        <f t="shared" si="9"/>
        <v>0</v>
      </c>
      <c r="AQ38" s="533">
        <f t="shared" si="10"/>
        <v>0</v>
      </c>
      <c r="AR38" s="534">
        <f t="shared" si="15"/>
        <v>1</v>
      </c>
      <c r="AS38" s="535">
        <f t="shared" si="11"/>
        <v>0</v>
      </c>
      <c r="AT38" s="535">
        <f t="shared" si="12"/>
        <v>0</v>
      </c>
      <c r="AU38" s="536">
        <f>IF(AS38&lt;&gt;"LPG",VLOOKUP("都市ガス",係数!$B$3:$I$30,8,FALSE),VLOOKUP("液化石油ガス（LPG）",係数!$B$3:$I$30,8,FALSE)/0.458)</f>
        <v>2.0500000000000002E-3</v>
      </c>
      <c r="AV38" s="537">
        <f>IF(AS38&lt;&gt;"LPG",VLOOKUP("都市ガス",係数!$B$3:$C$30,2,FALSE),VLOOKUP("液化石油ガス（LPG）",係数!$B$3:$C$30,2,FALSE)/0.458)</f>
        <v>45</v>
      </c>
      <c r="AW38" s="535">
        <f t="shared" si="16"/>
        <v>0</v>
      </c>
      <c r="AX38" s="535">
        <f t="shared" si="13"/>
        <v>0</v>
      </c>
      <c r="AY38" s="536">
        <f>IF(AW38&lt;&gt;"LPG",VLOOKUP("都市ガス",係数!$B$3:$I$30,8,FALSE),VLOOKUP("液化石油ガス（LPG）",係数!$B$3:$I$30,8,FALSE)/0.458)</f>
        <v>2.0500000000000002E-3</v>
      </c>
      <c r="AZ38" s="538">
        <f>IF(AW38&lt;&gt;"LPG",VLOOKUP("都市ガス",係数!$B$3:$C$30,2,FALSE),VLOOKUP("液化石油ガス（LPG）",係数!$B$3:$C$30,2,FALSE)/0.458)</f>
        <v>45</v>
      </c>
    </row>
    <row r="39" spans="1:52">
      <c r="B39" s="59" t="s">
        <v>58</v>
      </c>
      <c r="C39" s="10"/>
      <c r="D39" s="3"/>
      <c r="E39" s="10"/>
      <c r="F39" s="109"/>
      <c r="G39" s="4"/>
      <c r="H39" s="442"/>
      <c r="I39" s="319"/>
      <c r="J39" s="319"/>
      <c r="K39" s="103"/>
      <c r="L39" s="103"/>
      <c r="M39" s="531">
        <f t="shared" si="14"/>
        <v>0</v>
      </c>
      <c r="N39" s="442"/>
      <c r="O39" s="319"/>
      <c r="P39" s="319"/>
      <c r="Q39" s="103"/>
      <c r="R39" s="103"/>
      <c r="S39" s="531">
        <f t="shared" si="17"/>
        <v>0</v>
      </c>
      <c r="T39" s="369">
        <f t="shared" si="2"/>
        <v>0</v>
      </c>
      <c r="U39" s="43">
        <f t="shared" si="3"/>
        <v>0</v>
      </c>
      <c r="V39" s="362">
        <f>T39*係数!$I$30+U39*$AU39</f>
        <v>0</v>
      </c>
      <c r="W39" s="362">
        <f>(T39*係数!$C$30+U39*$AV39)*0.0000258</f>
        <v>0</v>
      </c>
      <c r="X39" s="10"/>
      <c r="Y39" s="3"/>
      <c r="Z39" s="4"/>
      <c r="AA39" s="4"/>
      <c r="AB39" s="442"/>
      <c r="AC39" s="319"/>
      <c r="AD39" s="319"/>
      <c r="AE39" s="442"/>
      <c r="AF39" s="319"/>
      <c r="AG39" s="319"/>
      <c r="AH39" s="327">
        <f t="shared" si="4"/>
        <v>0</v>
      </c>
      <c r="AI39" s="43">
        <f t="shared" si="5"/>
        <v>0</v>
      </c>
      <c r="AJ39" s="351">
        <f>AH39*係数!$I$30+AI39*$AY39</f>
        <v>0</v>
      </c>
      <c r="AK39" s="351">
        <f>(AH39*係数!$C$30+AI39*$AZ39)*0.0000258</f>
        <v>0</v>
      </c>
      <c r="AL39" s="282">
        <f t="shared" si="6"/>
        <v>0</v>
      </c>
      <c r="AM39" s="357">
        <f t="shared" si="7"/>
        <v>0</v>
      </c>
      <c r="AN39" s="358">
        <f t="shared" si="8"/>
        <v>0</v>
      </c>
      <c r="AO39" s="359">
        <f t="shared" si="9"/>
        <v>0</v>
      </c>
      <c r="AQ39" s="533">
        <f t="shared" si="10"/>
        <v>0</v>
      </c>
      <c r="AR39" s="534">
        <f t="shared" si="15"/>
        <v>1</v>
      </c>
      <c r="AS39" s="535">
        <f t="shared" si="11"/>
        <v>0</v>
      </c>
      <c r="AT39" s="535">
        <f t="shared" si="12"/>
        <v>0</v>
      </c>
      <c r="AU39" s="536">
        <f>IF(AS39&lt;&gt;"LPG",VLOOKUP("都市ガス",係数!$B$3:$I$30,8,FALSE),VLOOKUP("液化石油ガス（LPG）",係数!$B$3:$I$30,8,FALSE)/0.458)</f>
        <v>2.0500000000000002E-3</v>
      </c>
      <c r="AV39" s="537">
        <f>IF(AS39&lt;&gt;"LPG",VLOOKUP("都市ガス",係数!$B$3:$C$30,2,FALSE),VLOOKUP("液化石油ガス（LPG）",係数!$B$3:$C$30,2,FALSE)/0.458)</f>
        <v>45</v>
      </c>
      <c r="AW39" s="535">
        <f t="shared" si="16"/>
        <v>0</v>
      </c>
      <c r="AX39" s="535">
        <f t="shared" si="13"/>
        <v>0</v>
      </c>
      <c r="AY39" s="536">
        <f>IF(AW39&lt;&gt;"LPG",VLOOKUP("都市ガス",係数!$B$3:$I$30,8,FALSE),VLOOKUP("液化石油ガス（LPG）",係数!$B$3:$I$30,8,FALSE)/0.458)</f>
        <v>2.0500000000000002E-3</v>
      </c>
      <c r="AZ39" s="538">
        <f>IF(AW39&lt;&gt;"LPG",VLOOKUP("都市ガス",係数!$B$3:$C$30,2,FALSE),VLOOKUP("液化石油ガス（LPG）",係数!$B$3:$C$30,2,FALSE)/0.458)</f>
        <v>45</v>
      </c>
    </row>
    <row r="40" spans="1:52">
      <c r="B40" s="59" t="s">
        <v>59</v>
      </c>
      <c r="C40" s="10"/>
      <c r="D40" s="3"/>
      <c r="E40" s="10"/>
      <c r="F40" s="109"/>
      <c r="G40" s="4"/>
      <c r="H40" s="442"/>
      <c r="I40" s="319"/>
      <c r="J40" s="319"/>
      <c r="K40" s="103"/>
      <c r="L40" s="103"/>
      <c r="M40" s="531">
        <f t="shared" si="14"/>
        <v>0</v>
      </c>
      <c r="N40" s="442"/>
      <c r="O40" s="319"/>
      <c r="P40" s="319"/>
      <c r="Q40" s="103"/>
      <c r="R40" s="103"/>
      <c r="S40" s="531">
        <f t="shared" si="17"/>
        <v>0</v>
      </c>
      <c r="T40" s="369">
        <f t="shared" si="2"/>
        <v>0</v>
      </c>
      <c r="U40" s="43">
        <f t="shared" si="3"/>
        <v>0</v>
      </c>
      <c r="V40" s="362">
        <f>T40*係数!$I$30+U40*$AU40</f>
        <v>0</v>
      </c>
      <c r="W40" s="362">
        <f>(T40*係数!$C$30+U40*$AV40)*0.0000258</f>
        <v>0</v>
      </c>
      <c r="X40" s="10"/>
      <c r="Y40" s="3"/>
      <c r="Z40" s="4"/>
      <c r="AA40" s="4"/>
      <c r="AB40" s="442"/>
      <c r="AC40" s="319"/>
      <c r="AD40" s="319"/>
      <c r="AE40" s="442"/>
      <c r="AF40" s="319"/>
      <c r="AG40" s="319"/>
      <c r="AH40" s="327">
        <f t="shared" si="4"/>
        <v>0</v>
      </c>
      <c r="AI40" s="43">
        <f t="shared" si="5"/>
        <v>0</v>
      </c>
      <c r="AJ40" s="351">
        <f>AH40*係数!$I$30+AI40*$AY40</f>
        <v>0</v>
      </c>
      <c r="AK40" s="351">
        <f>(AH40*係数!$C$30+AI40*$AZ40)*0.0000258</f>
        <v>0</v>
      </c>
      <c r="AL40" s="282">
        <f t="shared" si="6"/>
        <v>0</v>
      </c>
      <c r="AM40" s="357">
        <f t="shared" si="7"/>
        <v>0</v>
      </c>
      <c r="AN40" s="358">
        <f t="shared" si="8"/>
        <v>0</v>
      </c>
      <c r="AO40" s="359">
        <f t="shared" si="9"/>
        <v>0</v>
      </c>
      <c r="AQ40" s="533">
        <f t="shared" si="10"/>
        <v>0</v>
      </c>
      <c r="AR40" s="534">
        <f t="shared" si="15"/>
        <v>1</v>
      </c>
      <c r="AS40" s="535">
        <f t="shared" si="11"/>
        <v>0</v>
      </c>
      <c r="AT40" s="535">
        <f t="shared" si="12"/>
        <v>0</v>
      </c>
      <c r="AU40" s="536">
        <f>IF(AS40&lt;&gt;"LPG",VLOOKUP("都市ガス",係数!$B$3:$I$30,8,FALSE),VLOOKUP("液化石油ガス（LPG）",係数!$B$3:$I$30,8,FALSE)/0.458)</f>
        <v>2.0500000000000002E-3</v>
      </c>
      <c r="AV40" s="537">
        <f>IF(AS40&lt;&gt;"LPG",VLOOKUP("都市ガス",係数!$B$3:$C$30,2,FALSE),VLOOKUP("液化石油ガス（LPG）",係数!$B$3:$C$30,2,FALSE)/0.458)</f>
        <v>45</v>
      </c>
      <c r="AW40" s="535">
        <f t="shared" si="16"/>
        <v>0</v>
      </c>
      <c r="AX40" s="535">
        <f t="shared" si="13"/>
        <v>0</v>
      </c>
      <c r="AY40" s="536">
        <f>IF(AW40&lt;&gt;"LPG",VLOOKUP("都市ガス",係数!$B$3:$I$30,8,FALSE),VLOOKUP("液化石油ガス（LPG）",係数!$B$3:$I$30,8,FALSE)/0.458)</f>
        <v>2.0500000000000002E-3</v>
      </c>
      <c r="AZ40" s="538">
        <f>IF(AW40&lt;&gt;"LPG",VLOOKUP("都市ガス",係数!$B$3:$C$30,2,FALSE),VLOOKUP("液化石油ガス（LPG）",係数!$B$3:$C$30,2,FALSE)/0.458)</f>
        <v>45</v>
      </c>
    </row>
    <row r="41" spans="1:52">
      <c r="B41" s="59" t="s">
        <v>60</v>
      </c>
      <c r="C41" s="10"/>
      <c r="D41" s="3"/>
      <c r="E41" s="10"/>
      <c r="F41" s="109"/>
      <c r="G41" s="4"/>
      <c r="H41" s="442"/>
      <c r="I41" s="319"/>
      <c r="J41" s="319"/>
      <c r="K41" s="103"/>
      <c r="L41" s="103"/>
      <c r="M41" s="531">
        <f t="shared" si="14"/>
        <v>0</v>
      </c>
      <c r="N41" s="442"/>
      <c r="O41" s="319"/>
      <c r="P41" s="319"/>
      <c r="Q41" s="103"/>
      <c r="R41" s="103"/>
      <c r="S41" s="531">
        <f t="shared" si="17"/>
        <v>0</v>
      </c>
      <c r="T41" s="369">
        <f t="shared" si="2"/>
        <v>0</v>
      </c>
      <c r="U41" s="43">
        <f t="shared" si="3"/>
        <v>0</v>
      </c>
      <c r="V41" s="362">
        <f>T41*係数!$I$30+U41*$AU41</f>
        <v>0</v>
      </c>
      <c r="W41" s="362">
        <f>(T41*係数!$C$30+U41*$AV41)*0.0000258</f>
        <v>0</v>
      </c>
      <c r="X41" s="10"/>
      <c r="Y41" s="3"/>
      <c r="Z41" s="4"/>
      <c r="AA41" s="4"/>
      <c r="AB41" s="442"/>
      <c r="AC41" s="319"/>
      <c r="AD41" s="319"/>
      <c r="AE41" s="442"/>
      <c r="AF41" s="319"/>
      <c r="AG41" s="319"/>
      <c r="AH41" s="327">
        <f t="shared" si="4"/>
        <v>0</v>
      </c>
      <c r="AI41" s="43">
        <f t="shared" si="5"/>
        <v>0</v>
      </c>
      <c r="AJ41" s="351">
        <f>AH41*係数!$I$30+AI41*$AY41</f>
        <v>0</v>
      </c>
      <c r="AK41" s="351">
        <f>(AH41*係数!$C$30+AI41*$AZ41)*0.0000258</f>
        <v>0</v>
      </c>
      <c r="AL41" s="282">
        <f t="shared" si="6"/>
        <v>0</v>
      </c>
      <c r="AM41" s="357">
        <f t="shared" si="7"/>
        <v>0</v>
      </c>
      <c r="AN41" s="358">
        <f t="shared" si="8"/>
        <v>0</v>
      </c>
      <c r="AO41" s="359">
        <f t="shared" si="9"/>
        <v>0</v>
      </c>
      <c r="AQ41" s="533">
        <f t="shared" si="10"/>
        <v>0</v>
      </c>
      <c r="AR41" s="534">
        <f t="shared" si="15"/>
        <v>1</v>
      </c>
      <c r="AS41" s="535">
        <f t="shared" si="11"/>
        <v>0</v>
      </c>
      <c r="AT41" s="535">
        <f t="shared" si="12"/>
        <v>0</v>
      </c>
      <c r="AU41" s="536">
        <f>IF(AS41&lt;&gt;"LPG",VLOOKUP("都市ガス",係数!$B$3:$I$30,8,FALSE),VLOOKUP("液化石油ガス（LPG）",係数!$B$3:$I$30,8,FALSE)/0.458)</f>
        <v>2.0500000000000002E-3</v>
      </c>
      <c r="AV41" s="537">
        <f>IF(AS41&lt;&gt;"LPG",VLOOKUP("都市ガス",係数!$B$3:$C$30,2,FALSE),VLOOKUP("液化石油ガス（LPG）",係数!$B$3:$C$30,2,FALSE)/0.458)</f>
        <v>45</v>
      </c>
      <c r="AW41" s="535">
        <f t="shared" si="16"/>
        <v>0</v>
      </c>
      <c r="AX41" s="535">
        <f t="shared" si="13"/>
        <v>0</v>
      </c>
      <c r="AY41" s="536">
        <f>IF(AW41&lt;&gt;"LPG",VLOOKUP("都市ガス",係数!$B$3:$I$30,8,FALSE),VLOOKUP("液化石油ガス（LPG）",係数!$B$3:$I$30,8,FALSE)/0.458)</f>
        <v>2.0500000000000002E-3</v>
      </c>
      <c r="AZ41" s="538">
        <f>IF(AW41&lt;&gt;"LPG",VLOOKUP("都市ガス",係数!$B$3:$C$30,2,FALSE),VLOOKUP("液化石油ガス（LPG）",係数!$B$3:$C$30,2,FALSE)/0.458)</f>
        <v>45</v>
      </c>
    </row>
    <row r="42" spans="1:52">
      <c r="B42" s="59" t="s">
        <v>61</v>
      </c>
      <c r="C42" s="10"/>
      <c r="D42" s="3"/>
      <c r="E42" s="10"/>
      <c r="F42" s="109"/>
      <c r="G42" s="4"/>
      <c r="H42" s="442"/>
      <c r="I42" s="319"/>
      <c r="J42" s="319"/>
      <c r="K42" s="103"/>
      <c r="L42" s="103"/>
      <c r="M42" s="531">
        <f t="shared" si="14"/>
        <v>0</v>
      </c>
      <c r="N42" s="442"/>
      <c r="O42" s="319"/>
      <c r="P42" s="319"/>
      <c r="Q42" s="103"/>
      <c r="R42" s="103"/>
      <c r="S42" s="531">
        <f t="shared" si="17"/>
        <v>0</v>
      </c>
      <c r="T42" s="369">
        <f t="shared" si="2"/>
        <v>0</v>
      </c>
      <c r="U42" s="43">
        <f t="shared" si="3"/>
        <v>0</v>
      </c>
      <c r="V42" s="362">
        <f>T42*係数!$I$30+U42*$AU42</f>
        <v>0</v>
      </c>
      <c r="W42" s="362">
        <f>(T42*係数!$C$30+U42*$AV42)*0.0000258</f>
        <v>0</v>
      </c>
      <c r="X42" s="10"/>
      <c r="Y42" s="3"/>
      <c r="Z42" s="4"/>
      <c r="AA42" s="4"/>
      <c r="AB42" s="442"/>
      <c r="AC42" s="319"/>
      <c r="AD42" s="319"/>
      <c r="AE42" s="442"/>
      <c r="AF42" s="319"/>
      <c r="AG42" s="319"/>
      <c r="AH42" s="327">
        <f t="shared" si="4"/>
        <v>0</v>
      </c>
      <c r="AI42" s="43">
        <f t="shared" si="5"/>
        <v>0</v>
      </c>
      <c r="AJ42" s="351">
        <f>AH42*係数!$I$30+AI42*$AY42</f>
        <v>0</v>
      </c>
      <c r="AK42" s="351">
        <f>(AH42*係数!$C$30+AI42*$AZ42)*0.0000258</f>
        <v>0</v>
      </c>
      <c r="AL42" s="282">
        <f t="shared" si="6"/>
        <v>0</v>
      </c>
      <c r="AM42" s="357">
        <f t="shared" si="7"/>
        <v>0</v>
      </c>
      <c r="AN42" s="358">
        <f t="shared" si="8"/>
        <v>0</v>
      </c>
      <c r="AO42" s="359">
        <f t="shared" si="9"/>
        <v>0</v>
      </c>
      <c r="AQ42" s="533">
        <f t="shared" si="10"/>
        <v>0</v>
      </c>
      <c r="AR42" s="534">
        <f t="shared" si="15"/>
        <v>1</v>
      </c>
      <c r="AS42" s="535">
        <f t="shared" si="11"/>
        <v>0</v>
      </c>
      <c r="AT42" s="535">
        <f t="shared" si="12"/>
        <v>0</v>
      </c>
      <c r="AU42" s="536">
        <f>IF(AS42&lt;&gt;"LPG",VLOOKUP("都市ガス",係数!$B$3:$I$30,8,FALSE),VLOOKUP("液化石油ガス（LPG）",係数!$B$3:$I$30,8,FALSE)/0.458)</f>
        <v>2.0500000000000002E-3</v>
      </c>
      <c r="AV42" s="537">
        <f>IF(AS42&lt;&gt;"LPG",VLOOKUP("都市ガス",係数!$B$3:$C$30,2,FALSE),VLOOKUP("液化石油ガス（LPG）",係数!$B$3:$C$30,2,FALSE)/0.458)</f>
        <v>45</v>
      </c>
      <c r="AW42" s="535">
        <f t="shared" si="16"/>
        <v>0</v>
      </c>
      <c r="AX42" s="535">
        <f t="shared" si="13"/>
        <v>0</v>
      </c>
      <c r="AY42" s="536">
        <f>IF(AW42&lt;&gt;"LPG",VLOOKUP("都市ガス",係数!$B$3:$I$30,8,FALSE),VLOOKUP("液化石油ガス（LPG）",係数!$B$3:$I$30,8,FALSE)/0.458)</f>
        <v>2.0500000000000002E-3</v>
      </c>
      <c r="AZ42" s="538">
        <f>IF(AW42&lt;&gt;"LPG",VLOOKUP("都市ガス",係数!$B$3:$C$30,2,FALSE),VLOOKUP("液化石油ガス（LPG）",係数!$B$3:$C$30,2,FALSE)/0.458)</f>
        <v>45</v>
      </c>
    </row>
    <row r="43" spans="1:52">
      <c r="N43" s="58"/>
      <c r="O43" s="58"/>
    </row>
    <row r="44" spans="1:52" ht="30">
      <c r="A44" s="497" t="s">
        <v>865</v>
      </c>
      <c r="B44" s="498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  <c r="AD44" s="498"/>
      <c r="AE44" s="498"/>
      <c r="AF44" s="498"/>
      <c r="AG44" s="498"/>
      <c r="AH44" s="498"/>
      <c r="AI44" s="498"/>
      <c r="AJ44" s="498"/>
      <c r="AK44" s="498"/>
      <c r="AL44" s="498"/>
      <c r="AM44" s="498"/>
      <c r="AN44" s="498"/>
      <c r="AO44" s="498"/>
      <c r="AP44" s="498"/>
      <c r="AQ44" s="498"/>
      <c r="AR44" s="498"/>
      <c r="AS44" s="498"/>
      <c r="AT44" s="498"/>
      <c r="AU44" s="498"/>
      <c r="AV44" s="498"/>
      <c r="AW44" s="498"/>
      <c r="AX44" s="498"/>
      <c r="AY44" s="498"/>
      <c r="AZ44" s="498"/>
    </row>
    <row r="45" spans="1:52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  <c r="Z45" s="498"/>
      <c r="AA45" s="498"/>
      <c r="AB45" s="498"/>
      <c r="AC45" s="498"/>
      <c r="AD45" s="498"/>
      <c r="AE45" s="498"/>
      <c r="AF45" s="498"/>
      <c r="AG45" s="498"/>
      <c r="AH45" s="498"/>
      <c r="AI45" s="498"/>
      <c r="AJ45" s="498"/>
      <c r="AK45" s="498"/>
      <c r="AL45" s="498"/>
      <c r="AM45" s="498"/>
      <c r="AN45" s="498"/>
      <c r="AO45" s="498"/>
      <c r="AP45" s="498"/>
      <c r="AQ45" s="498"/>
      <c r="AR45" s="498"/>
      <c r="AS45" s="498"/>
      <c r="AT45" s="498"/>
      <c r="AU45" s="498"/>
      <c r="AV45" s="498"/>
      <c r="AW45" s="498"/>
      <c r="AX45" s="498"/>
      <c r="AY45" s="498"/>
      <c r="AZ45" s="498"/>
    </row>
    <row r="46" spans="1:52">
      <c r="A46" s="498"/>
      <c r="B46" s="498"/>
      <c r="C46" s="498"/>
      <c r="D46" s="498"/>
      <c r="E46" s="498"/>
      <c r="F46" s="498"/>
      <c r="G46" s="498"/>
      <c r="H46" s="498"/>
      <c r="I46" s="674" t="s">
        <v>988</v>
      </c>
      <c r="J46" s="674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  <c r="AD46" s="498"/>
      <c r="AE46" s="498"/>
      <c r="AF46" s="498"/>
      <c r="AG46" s="498"/>
      <c r="AH46" s="498"/>
      <c r="AI46" s="498"/>
      <c r="AJ46" s="498"/>
      <c r="AK46" s="498"/>
      <c r="AL46" s="498"/>
      <c r="AM46" s="498"/>
      <c r="AN46" s="498"/>
      <c r="AO46" s="498"/>
      <c r="AP46" s="498"/>
      <c r="AQ46" s="498"/>
      <c r="AR46" s="498"/>
      <c r="AS46" s="498"/>
      <c r="AT46" s="498"/>
      <c r="AU46" s="498"/>
      <c r="AV46" s="498"/>
      <c r="AW46" s="498"/>
      <c r="AX46" s="498"/>
      <c r="AY46" s="498"/>
      <c r="AZ46" s="498"/>
    </row>
    <row r="47" spans="1:52">
      <c r="A47" s="498"/>
      <c r="B47" s="498"/>
      <c r="C47" s="498"/>
      <c r="D47" s="498"/>
      <c r="E47" s="498"/>
      <c r="F47" s="498"/>
      <c r="G47" s="498"/>
      <c r="H47" s="498"/>
      <c r="I47" s="482" t="s">
        <v>986</v>
      </c>
      <c r="J47" s="514" t="s">
        <v>14</v>
      </c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  <c r="AD47" s="498"/>
      <c r="AE47" s="498"/>
      <c r="AF47" s="498"/>
      <c r="AG47" s="498"/>
      <c r="AH47" s="498"/>
      <c r="AI47" s="498"/>
      <c r="AJ47" s="498"/>
      <c r="AK47" s="498"/>
      <c r="AL47" s="498"/>
      <c r="AM47" s="498"/>
      <c r="AN47" s="498"/>
      <c r="AO47" s="498"/>
      <c r="AP47" s="498"/>
      <c r="AQ47" s="498"/>
      <c r="AR47" s="498"/>
      <c r="AS47" s="498"/>
      <c r="AT47" s="498"/>
      <c r="AU47" s="498"/>
      <c r="AV47" s="498"/>
      <c r="AW47" s="498"/>
      <c r="AX47" s="498"/>
      <c r="AY47" s="498"/>
      <c r="AZ47" s="498"/>
    </row>
    <row r="48" spans="1:52">
      <c r="A48" s="498"/>
      <c r="B48" s="498"/>
      <c r="C48" s="498"/>
      <c r="D48" s="498"/>
      <c r="E48" s="498"/>
      <c r="F48" s="498"/>
      <c r="G48" s="498"/>
      <c r="H48" s="498"/>
      <c r="I48" s="539"/>
      <c r="J48" s="540">
        <f>I48*1.163/1000</f>
        <v>0</v>
      </c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498"/>
      <c r="AC48" s="498"/>
      <c r="AD48" s="498"/>
      <c r="AE48" s="498"/>
      <c r="AF48" s="498"/>
      <c r="AG48" s="498"/>
      <c r="AH48" s="498"/>
      <c r="AI48" s="498"/>
      <c r="AJ48" s="498"/>
      <c r="AK48" s="498"/>
      <c r="AL48" s="498"/>
      <c r="AM48" s="498"/>
      <c r="AN48" s="498"/>
      <c r="AO48" s="498"/>
      <c r="AP48" s="498"/>
      <c r="AQ48" s="498"/>
      <c r="AR48" s="498"/>
      <c r="AS48" s="498"/>
      <c r="AT48" s="498"/>
      <c r="AU48" s="498"/>
      <c r="AV48" s="498"/>
      <c r="AW48" s="498"/>
      <c r="AX48" s="498"/>
      <c r="AY48" s="498"/>
      <c r="AZ48" s="498"/>
    </row>
    <row r="49" spans="1:52">
      <c r="A49" s="498"/>
      <c r="B49" s="498"/>
      <c r="C49" s="498"/>
      <c r="D49" s="498"/>
      <c r="E49" s="498"/>
      <c r="F49" s="498"/>
      <c r="G49" s="498"/>
      <c r="H49" s="498"/>
      <c r="I49" s="675" t="s">
        <v>989</v>
      </c>
      <c r="J49" s="675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  <c r="Z49" s="498"/>
      <c r="AA49" s="498"/>
      <c r="AB49" s="498"/>
      <c r="AC49" s="498"/>
      <c r="AD49" s="498"/>
      <c r="AE49" s="498"/>
      <c r="AF49" s="498"/>
      <c r="AG49" s="498"/>
      <c r="AH49" s="498"/>
      <c r="AI49" s="498"/>
      <c r="AJ49" s="498"/>
      <c r="AK49" s="498"/>
      <c r="AL49" s="498"/>
      <c r="AM49" s="498"/>
      <c r="AN49" s="498"/>
      <c r="AO49" s="498"/>
      <c r="AP49" s="498"/>
      <c r="AQ49" s="498"/>
      <c r="AR49" s="498"/>
      <c r="AS49" s="498"/>
      <c r="AT49" s="498"/>
      <c r="AU49" s="498"/>
      <c r="AV49" s="498"/>
      <c r="AW49" s="498"/>
      <c r="AX49" s="498"/>
      <c r="AY49" s="498"/>
      <c r="AZ49" s="498"/>
    </row>
    <row r="50" spans="1:52">
      <c r="A50" s="498"/>
      <c r="B50" s="498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  <c r="Z50" s="498"/>
      <c r="AA50" s="498"/>
      <c r="AB50" s="498"/>
      <c r="AC50" s="498"/>
      <c r="AD50" s="498"/>
      <c r="AE50" s="498"/>
      <c r="AF50" s="498"/>
      <c r="AG50" s="498"/>
      <c r="AH50" s="498"/>
      <c r="AI50" s="498"/>
      <c r="AJ50" s="498"/>
      <c r="AK50" s="498"/>
      <c r="AL50" s="498"/>
      <c r="AM50" s="498"/>
      <c r="AN50" s="498"/>
      <c r="AO50" s="498"/>
      <c r="AP50" s="498"/>
      <c r="AQ50" s="498"/>
      <c r="AR50" s="498"/>
      <c r="AS50" s="498"/>
      <c r="AT50" s="498"/>
      <c r="AU50" s="498"/>
      <c r="AV50" s="498"/>
      <c r="AW50" s="498"/>
      <c r="AX50" s="498"/>
      <c r="AY50" s="498"/>
      <c r="AZ50" s="498"/>
    </row>
    <row r="51" spans="1:52">
      <c r="A51" s="498"/>
      <c r="B51" s="498"/>
      <c r="C51" s="498"/>
      <c r="D51" s="498"/>
      <c r="E51" s="498"/>
      <c r="F51" s="498"/>
      <c r="G51" s="498"/>
      <c r="H51" s="498"/>
      <c r="I51" s="693" t="s">
        <v>955</v>
      </c>
      <c r="J51" s="693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  <c r="AF51" s="498"/>
      <c r="AG51" s="498"/>
      <c r="AH51" s="498"/>
      <c r="AI51" s="498"/>
      <c r="AJ51" s="498"/>
      <c r="AK51" s="498"/>
      <c r="AL51" s="498"/>
      <c r="AM51" s="498"/>
      <c r="AN51" s="498"/>
      <c r="AO51" s="498"/>
      <c r="AP51" s="498"/>
      <c r="AQ51" s="498"/>
      <c r="AR51" s="498"/>
      <c r="AS51" s="498"/>
      <c r="AT51" s="498"/>
      <c r="AU51" s="498"/>
      <c r="AV51" s="498"/>
      <c r="AW51" s="498"/>
      <c r="AX51" s="498"/>
      <c r="AY51" s="498"/>
      <c r="AZ51" s="498"/>
    </row>
    <row r="52" spans="1:52">
      <c r="A52" s="498"/>
      <c r="B52" s="498"/>
      <c r="C52" s="498"/>
      <c r="D52" s="498"/>
      <c r="E52" s="498"/>
      <c r="F52" s="498"/>
      <c r="G52" s="498"/>
      <c r="H52" s="498"/>
      <c r="I52" s="541" t="s">
        <v>96</v>
      </c>
      <c r="J52" s="542" t="s">
        <v>97</v>
      </c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  <c r="AF52" s="498"/>
      <c r="AG52" s="498"/>
      <c r="AH52" s="498"/>
      <c r="AI52" s="498"/>
      <c r="AJ52" s="498"/>
      <c r="AK52" s="498"/>
      <c r="AL52" s="498"/>
      <c r="AM52" s="498"/>
      <c r="AN52" s="498"/>
      <c r="AO52" s="498"/>
      <c r="AP52" s="498"/>
      <c r="AQ52" s="498"/>
      <c r="AR52" s="498"/>
      <c r="AS52" s="498"/>
      <c r="AT52" s="498"/>
      <c r="AU52" s="498"/>
      <c r="AV52" s="498"/>
      <c r="AW52" s="498"/>
      <c r="AX52" s="498"/>
      <c r="AY52" s="498"/>
      <c r="AZ52" s="498"/>
    </row>
    <row r="53" spans="1:52">
      <c r="A53" s="498"/>
      <c r="B53" s="254" t="str">
        <f>HYPERLINK("#", "【シートトップ】ハイパーリンク")</f>
        <v>【シートトップ】ハイパーリンク</v>
      </c>
      <c r="C53" s="498"/>
      <c r="D53" s="498"/>
      <c r="E53" s="498"/>
      <c r="F53" s="498"/>
      <c r="G53" s="498"/>
      <c r="H53" s="498"/>
      <c r="I53" s="259">
        <v>0.4</v>
      </c>
      <c r="J53" s="259">
        <v>0.4</v>
      </c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  <c r="AF53" s="498"/>
      <c r="AG53" s="498"/>
      <c r="AH53" s="498"/>
      <c r="AI53" s="498"/>
      <c r="AJ53" s="498"/>
      <c r="AK53" s="498"/>
      <c r="AL53" s="498"/>
      <c r="AM53" s="498"/>
      <c r="AN53" s="498"/>
      <c r="AO53" s="498"/>
      <c r="AP53" s="498"/>
      <c r="AQ53" s="498"/>
      <c r="AR53" s="498"/>
      <c r="AS53" s="498"/>
      <c r="AT53" s="498"/>
      <c r="AU53" s="498"/>
      <c r="AV53" s="498"/>
      <c r="AW53" s="498"/>
      <c r="AX53" s="498"/>
      <c r="AY53" s="498"/>
      <c r="AZ53" s="498"/>
    </row>
    <row r="54" spans="1:52">
      <c r="A54" s="498"/>
      <c r="B54" s="694" t="s">
        <v>17</v>
      </c>
      <c r="C54" s="543" t="s">
        <v>19</v>
      </c>
      <c r="D54" s="544"/>
      <c r="E54" s="544"/>
      <c r="F54" s="544"/>
      <c r="G54" s="544"/>
      <c r="H54" s="544"/>
      <c r="I54" s="544"/>
      <c r="J54" s="544"/>
      <c r="K54" s="544"/>
      <c r="L54" s="544"/>
      <c r="M54" s="544"/>
      <c r="N54" s="544"/>
      <c r="O54" s="544"/>
      <c r="P54" s="544"/>
      <c r="Q54" s="544"/>
      <c r="R54" s="544"/>
      <c r="S54" s="544"/>
      <c r="T54" s="544"/>
      <c r="U54" s="500"/>
      <c r="V54" s="500"/>
      <c r="W54" s="506"/>
      <c r="X54" s="545" t="s">
        <v>866</v>
      </c>
      <c r="Y54" s="545"/>
      <c r="Z54" s="545"/>
      <c r="AA54" s="545"/>
      <c r="AB54" s="544"/>
      <c r="AC54" s="500"/>
      <c r="AD54" s="500"/>
      <c r="AE54" s="544"/>
      <c r="AF54" s="500"/>
      <c r="AG54" s="500"/>
      <c r="AH54" s="500"/>
      <c r="AI54" s="500"/>
      <c r="AJ54" s="500"/>
      <c r="AK54" s="506"/>
      <c r="AL54" s="546" t="s">
        <v>26</v>
      </c>
      <c r="AM54" s="547"/>
      <c r="AN54" s="547"/>
      <c r="AO54" s="548"/>
      <c r="AP54" s="498"/>
      <c r="AQ54" s="549" t="s">
        <v>1047</v>
      </c>
      <c r="AR54" s="550"/>
      <c r="AS54" s="549" t="s">
        <v>1051</v>
      </c>
      <c r="AT54" s="551"/>
      <c r="AU54" s="551"/>
      <c r="AV54" s="550"/>
      <c r="AW54" s="549" t="s">
        <v>1048</v>
      </c>
      <c r="AX54" s="551"/>
      <c r="AY54" s="551"/>
      <c r="AZ54" s="551"/>
    </row>
    <row r="55" spans="1:52">
      <c r="A55" s="498"/>
      <c r="B55" s="695"/>
      <c r="C55" s="501" t="s">
        <v>844</v>
      </c>
      <c r="D55" s="504"/>
      <c r="E55" s="504"/>
      <c r="F55" s="504"/>
      <c r="G55" s="504"/>
      <c r="H55" s="552" t="s">
        <v>96</v>
      </c>
      <c r="I55" s="553"/>
      <c r="J55" s="554"/>
      <c r="K55" s="554"/>
      <c r="L55" s="554"/>
      <c r="M55" s="554"/>
      <c r="N55" s="555" t="s">
        <v>97</v>
      </c>
      <c r="O55" s="556"/>
      <c r="P55" s="557"/>
      <c r="Q55" s="557"/>
      <c r="R55" s="557"/>
      <c r="S55" s="557"/>
      <c r="T55" s="503" t="s">
        <v>838</v>
      </c>
      <c r="U55" s="504"/>
      <c r="V55" s="504"/>
      <c r="W55" s="502"/>
      <c r="X55" s="504"/>
      <c r="Y55" s="504"/>
      <c r="Z55" s="504"/>
      <c r="AA55" s="504"/>
      <c r="AB55" s="552" t="s">
        <v>96</v>
      </c>
      <c r="AC55" s="554"/>
      <c r="AD55" s="554"/>
      <c r="AE55" s="555" t="s">
        <v>97</v>
      </c>
      <c r="AF55" s="556"/>
      <c r="AG55" s="557"/>
      <c r="AH55" s="503" t="s">
        <v>838</v>
      </c>
      <c r="AI55" s="504"/>
      <c r="AJ55" s="500"/>
      <c r="AK55" s="506"/>
      <c r="AL55" s="558"/>
      <c r="AM55" s="559"/>
      <c r="AN55" s="559"/>
      <c r="AO55" s="560"/>
      <c r="AP55" s="498"/>
      <c r="AQ55" s="561"/>
      <c r="AR55" s="562"/>
      <c r="AS55" s="561"/>
      <c r="AT55" s="563"/>
      <c r="AU55" s="563"/>
      <c r="AV55" s="562"/>
      <c r="AW55" s="561"/>
      <c r="AX55" s="563"/>
      <c r="AY55" s="563"/>
      <c r="AZ55" s="563"/>
    </row>
    <row r="56" spans="1:52" ht="56.25">
      <c r="A56" s="498"/>
      <c r="B56" s="696"/>
      <c r="C56" s="564" t="s">
        <v>845</v>
      </c>
      <c r="D56" s="564" t="s">
        <v>1060</v>
      </c>
      <c r="E56" s="564" t="s">
        <v>864</v>
      </c>
      <c r="F56" s="564" t="s">
        <v>834</v>
      </c>
      <c r="G56" s="564" t="s">
        <v>835</v>
      </c>
      <c r="H56" s="565" t="s">
        <v>705</v>
      </c>
      <c r="I56" s="565" t="s">
        <v>1069</v>
      </c>
      <c r="J56" s="565" t="s">
        <v>1034</v>
      </c>
      <c r="K56" s="565" t="s">
        <v>1075</v>
      </c>
      <c r="L56" s="565" t="s">
        <v>1080</v>
      </c>
      <c r="M56" s="565" t="s">
        <v>1052</v>
      </c>
      <c r="N56" s="566" t="s">
        <v>705</v>
      </c>
      <c r="O56" s="566" t="s">
        <v>1069</v>
      </c>
      <c r="P56" s="566" t="s">
        <v>1033</v>
      </c>
      <c r="Q56" s="566" t="s">
        <v>1075</v>
      </c>
      <c r="R56" s="566" t="s">
        <v>1080</v>
      </c>
      <c r="S56" s="566" t="s">
        <v>1052</v>
      </c>
      <c r="T56" s="564" t="s">
        <v>1081</v>
      </c>
      <c r="U56" s="564" t="s">
        <v>1035</v>
      </c>
      <c r="V56" s="564" t="s">
        <v>1</v>
      </c>
      <c r="W56" s="564" t="s">
        <v>968</v>
      </c>
      <c r="X56" s="564" t="s">
        <v>845</v>
      </c>
      <c r="Y56" s="564" t="s">
        <v>1060</v>
      </c>
      <c r="Z56" s="564" t="s">
        <v>834</v>
      </c>
      <c r="AA56" s="564" t="s">
        <v>835</v>
      </c>
      <c r="AB56" s="565" t="s">
        <v>705</v>
      </c>
      <c r="AC56" s="565" t="s">
        <v>1069</v>
      </c>
      <c r="AD56" s="565" t="s">
        <v>1033</v>
      </c>
      <c r="AE56" s="566" t="s">
        <v>705</v>
      </c>
      <c r="AF56" s="566" t="s">
        <v>1069</v>
      </c>
      <c r="AG56" s="566" t="s">
        <v>1033</v>
      </c>
      <c r="AH56" s="564" t="s">
        <v>1081</v>
      </c>
      <c r="AI56" s="564" t="s">
        <v>1085</v>
      </c>
      <c r="AJ56" s="567" t="s">
        <v>1</v>
      </c>
      <c r="AK56" s="567" t="s">
        <v>968</v>
      </c>
      <c r="AL56" s="568" t="s">
        <v>1071</v>
      </c>
      <c r="AM56" s="567" t="s">
        <v>1086</v>
      </c>
      <c r="AN56" s="568" t="s">
        <v>1073</v>
      </c>
      <c r="AO56" s="567" t="s">
        <v>919</v>
      </c>
      <c r="AP56" s="498"/>
      <c r="AQ56" s="564" t="s">
        <v>864</v>
      </c>
      <c r="AR56" s="564" t="s">
        <v>1088</v>
      </c>
      <c r="AS56" s="564" t="s">
        <v>835</v>
      </c>
      <c r="AT56" s="564" t="s">
        <v>836</v>
      </c>
      <c r="AU56" s="564" t="s">
        <v>105</v>
      </c>
      <c r="AV56" s="564" t="s">
        <v>1049</v>
      </c>
      <c r="AW56" s="564" t="s">
        <v>835</v>
      </c>
      <c r="AX56" s="564" t="s">
        <v>1050</v>
      </c>
      <c r="AY56" s="564" t="s">
        <v>105</v>
      </c>
      <c r="AZ56" s="564" t="s">
        <v>1049</v>
      </c>
    </row>
    <row r="57" spans="1:52">
      <c r="A57" s="498"/>
      <c r="B57" s="569" t="s">
        <v>18</v>
      </c>
      <c r="C57" s="570"/>
      <c r="D57" s="514" t="s">
        <v>38</v>
      </c>
      <c r="E57" s="514" t="s">
        <v>814</v>
      </c>
      <c r="F57" s="570"/>
      <c r="G57" s="515"/>
      <c r="H57" s="571" t="s">
        <v>98</v>
      </c>
      <c r="I57" s="571" t="s">
        <v>98</v>
      </c>
      <c r="J57" s="571" t="s">
        <v>98</v>
      </c>
      <c r="K57" s="571" t="s">
        <v>812</v>
      </c>
      <c r="L57" s="571" t="s">
        <v>813</v>
      </c>
      <c r="M57" s="571" t="s">
        <v>1053</v>
      </c>
      <c r="N57" s="572" t="s">
        <v>98</v>
      </c>
      <c r="O57" s="572" t="s">
        <v>98</v>
      </c>
      <c r="P57" s="572" t="s">
        <v>98</v>
      </c>
      <c r="Q57" s="572" t="s">
        <v>812</v>
      </c>
      <c r="R57" s="572" t="s">
        <v>813</v>
      </c>
      <c r="S57" s="572" t="s">
        <v>1053</v>
      </c>
      <c r="T57" s="514" t="s">
        <v>16</v>
      </c>
      <c r="U57" s="514" t="s">
        <v>102</v>
      </c>
      <c r="V57" s="516" t="s">
        <v>5</v>
      </c>
      <c r="W57" s="516" t="s">
        <v>707</v>
      </c>
      <c r="X57" s="570"/>
      <c r="Y57" s="514" t="s">
        <v>38</v>
      </c>
      <c r="Z57" s="515"/>
      <c r="AA57" s="515"/>
      <c r="AB57" s="571" t="s">
        <v>98</v>
      </c>
      <c r="AC57" s="571" t="s">
        <v>98</v>
      </c>
      <c r="AD57" s="571" t="s">
        <v>98</v>
      </c>
      <c r="AE57" s="572" t="s">
        <v>98</v>
      </c>
      <c r="AF57" s="572" t="s">
        <v>98</v>
      </c>
      <c r="AG57" s="572" t="s">
        <v>98</v>
      </c>
      <c r="AH57" s="514" t="s">
        <v>16</v>
      </c>
      <c r="AI57" s="573" t="s">
        <v>102</v>
      </c>
      <c r="AJ57" s="516" t="s">
        <v>5</v>
      </c>
      <c r="AK57" s="516" t="s">
        <v>707</v>
      </c>
      <c r="AL57" s="514" t="s">
        <v>16</v>
      </c>
      <c r="AM57" s="573" t="s">
        <v>107</v>
      </c>
      <c r="AN57" s="516" t="s">
        <v>5</v>
      </c>
      <c r="AO57" s="573" t="s">
        <v>708</v>
      </c>
      <c r="AP57" s="498"/>
      <c r="AQ57" s="514" t="s">
        <v>814</v>
      </c>
      <c r="AR57" s="514" t="s">
        <v>1054</v>
      </c>
      <c r="AS57" s="515"/>
      <c r="AT57" s="515"/>
      <c r="AU57" s="515"/>
      <c r="AV57" s="515"/>
      <c r="AW57" s="515"/>
      <c r="AX57" s="515"/>
      <c r="AY57" s="515"/>
      <c r="AZ57" s="515"/>
    </row>
    <row r="58" spans="1:52">
      <c r="A58" s="498"/>
      <c r="B58" s="574" t="s">
        <v>13</v>
      </c>
      <c r="C58" s="575"/>
      <c r="D58" s="576">
        <f>SUM(D59:D62)</f>
        <v>8</v>
      </c>
      <c r="E58" s="532"/>
      <c r="F58" s="532"/>
      <c r="G58" s="532"/>
      <c r="H58" s="577">
        <f>SUMPRODUCT($D59:$D62*H59:H62)</f>
        <v>238.5</v>
      </c>
      <c r="I58" s="578">
        <f>SUMPRODUCT($D59:$D62*I59:I62)</f>
        <v>59.83</v>
      </c>
      <c r="J58" s="578">
        <f>SUMPRODUCT($D59:$D62*J59:J62)</f>
        <v>70.099999999999994</v>
      </c>
      <c r="K58" s="579"/>
      <c r="L58" s="579"/>
      <c r="M58" s="579"/>
      <c r="N58" s="162">
        <f>SUMPRODUCT($D59:$D62*N59:N62)</f>
        <v>270.5</v>
      </c>
      <c r="O58" s="580">
        <f>SUMPRODUCT($D59:$D62*O59:O62)</f>
        <v>52.849999999999994</v>
      </c>
      <c r="P58" s="580">
        <f>SUMPRODUCT($D59:$D62*P59:P62)</f>
        <v>66</v>
      </c>
      <c r="Q58" s="579"/>
      <c r="R58" s="579"/>
      <c r="S58" s="579"/>
      <c r="T58" s="463">
        <f>SUM(T59:T62)</f>
        <v>32986.460800000001</v>
      </c>
      <c r="U58" s="581">
        <f>SUM(U59:U62)</f>
        <v>3681.6109018181819</v>
      </c>
      <c r="V58" s="582">
        <f>SUM(V59:V62)</f>
        <v>27.144209986814609</v>
      </c>
      <c r="W58" s="582">
        <f>SUM(W59:W62)</f>
        <v>13.362404327422606</v>
      </c>
      <c r="X58" s="532"/>
      <c r="Y58" s="576">
        <f>SUM(Y59:Y62)</f>
        <v>13</v>
      </c>
      <c r="Z58" s="532"/>
      <c r="AA58" s="532"/>
      <c r="AB58" s="577">
        <f t="shared" ref="AB58:AG58" si="18">SUMPRODUCT($Y59:$Y62*AB59:AB62)</f>
        <v>232.5</v>
      </c>
      <c r="AC58" s="583">
        <f t="shared" si="18"/>
        <v>64.948999999999998</v>
      </c>
      <c r="AD58" s="580">
        <f t="shared" si="18"/>
        <v>36.6</v>
      </c>
      <c r="AE58" s="162">
        <f t="shared" si="18"/>
        <v>263.5</v>
      </c>
      <c r="AF58" s="583">
        <f t="shared" si="18"/>
        <v>56.91</v>
      </c>
      <c r="AG58" s="580">
        <f t="shared" si="18"/>
        <v>34.4</v>
      </c>
      <c r="AH58" s="463">
        <f t="shared" ref="AH58:AO58" si="19">SUM(AH59:AH62)</f>
        <v>27323.024000000001</v>
      </c>
      <c r="AI58" s="584">
        <f t="shared" si="19"/>
        <v>1679.2203636363638</v>
      </c>
      <c r="AJ58" s="582">
        <f t="shared" si="19"/>
        <v>15.792408593454546</v>
      </c>
      <c r="AK58" s="582">
        <f t="shared" si="19"/>
        <v>8.0402047680698185</v>
      </c>
      <c r="AL58" s="464">
        <f t="shared" si="19"/>
        <v>5663.4367999999977</v>
      </c>
      <c r="AM58" s="585">
        <f t="shared" si="19"/>
        <v>2002.3905381818181</v>
      </c>
      <c r="AN58" s="586">
        <f t="shared" si="19"/>
        <v>11.351801393360061</v>
      </c>
      <c r="AO58" s="587">
        <f t="shared" si="19"/>
        <v>5.3221995593527875</v>
      </c>
      <c r="AP58" s="498"/>
      <c r="AQ58" s="532"/>
      <c r="AR58" s="532"/>
      <c r="AS58" s="532"/>
      <c r="AT58" s="532"/>
      <c r="AU58" s="532"/>
      <c r="AV58" s="532"/>
      <c r="AW58" s="532"/>
      <c r="AX58" s="532"/>
      <c r="AY58" s="532"/>
      <c r="AZ58" s="532"/>
    </row>
    <row r="59" spans="1:52">
      <c r="A59" s="498"/>
      <c r="B59" s="569" t="s">
        <v>42</v>
      </c>
      <c r="C59" s="588" t="s">
        <v>867</v>
      </c>
      <c r="D59" s="589">
        <v>5</v>
      </c>
      <c r="E59" s="588">
        <v>1995</v>
      </c>
      <c r="F59" s="590" t="s">
        <v>863</v>
      </c>
      <c r="G59" s="591"/>
      <c r="H59" s="592">
        <v>14</v>
      </c>
      <c r="I59" s="593">
        <v>4.79</v>
      </c>
      <c r="J59" s="593"/>
      <c r="K59" s="594">
        <v>8</v>
      </c>
      <c r="L59" s="594">
        <v>100</v>
      </c>
      <c r="M59" s="531">
        <f>K59*L59</f>
        <v>800</v>
      </c>
      <c r="N59" s="266">
        <v>16</v>
      </c>
      <c r="O59" s="595">
        <v>5.33</v>
      </c>
      <c r="P59" s="595"/>
      <c r="Q59" s="594">
        <v>8</v>
      </c>
      <c r="R59" s="594">
        <v>80</v>
      </c>
      <c r="S59" s="531">
        <f>Q59*R59</f>
        <v>640</v>
      </c>
      <c r="T59" s="369">
        <f>D59*I59*M59*$I$17*$AR59+D59*O59*S59*$J$17*$AR59</f>
        <v>21729.599999999999</v>
      </c>
      <c r="U59" s="531">
        <f>IF(AT59&lt;&gt;0,D59*J59*M59*860/$AT59*$I$17*AR59+D59*P59*S59*860/$AT59*$J$17*AR59,0)</f>
        <v>0</v>
      </c>
      <c r="V59" s="596">
        <f>T59*係数!$I$30+U59*$AU59</f>
        <v>9.8217791999999982</v>
      </c>
      <c r="W59" s="596">
        <f>(T59*係数!$C$30+U59*$AV59)*0.0000258</f>
        <v>4.8437885952000004</v>
      </c>
      <c r="X59" s="588" t="s">
        <v>1055</v>
      </c>
      <c r="Y59" s="589">
        <v>5</v>
      </c>
      <c r="Z59" s="591" t="s">
        <v>863</v>
      </c>
      <c r="AA59" s="591"/>
      <c r="AB59" s="592">
        <v>14</v>
      </c>
      <c r="AC59" s="597">
        <v>4.4800000000000004</v>
      </c>
      <c r="AD59" s="595"/>
      <c r="AE59" s="592">
        <v>16</v>
      </c>
      <c r="AF59" s="597">
        <v>4.88</v>
      </c>
      <c r="AG59" s="595"/>
      <c r="AH59" s="7">
        <f>Y59*AC59*M59*$I$17+Y59*AF59*S59*$J$17</f>
        <v>13414.400000000001</v>
      </c>
      <c r="AI59" s="598">
        <f>IF($AX59&lt;&gt;0,Y59*AD59*$M59*860/$AX59*$I$17+Y59*$AG59*S59*860/$AX59*$J$17,0)</f>
        <v>0</v>
      </c>
      <c r="AJ59" s="599">
        <f>AH59*係数!$I$30+AI59*$AY59</f>
        <v>6.0633088000000006</v>
      </c>
      <c r="AK59" s="599">
        <f>(AH59*係数!$C$30+AI59*$AZ59)*0.0000258</f>
        <v>2.9902307328000006</v>
      </c>
      <c r="AL59" s="91">
        <f t="shared" ref="AL59:AO62" si="20">T59-AH59</f>
        <v>8315.1999999999971</v>
      </c>
      <c r="AM59" s="600">
        <f t="shared" si="20"/>
        <v>0</v>
      </c>
      <c r="AN59" s="601">
        <f t="shared" si="20"/>
        <v>3.7584703999999975</v>
      </c>
      <c r="AO59" s="602">
        <f t="shared" si="20"/>
        <v>1.8535578623999998</v>
      </c>
      <c r="AP59" s="498"/>
      <c r="AQ59" s="533">
        <f>E59</f>
        <v>1995</v>
      </c>
      <c r="AR59" s="534">
        <f t="shared" ref="AR59:AR62" si="21">IF(AQ59=0,1,MIN(1.5,(2026-AQ59)*0.02+1))</f>
        <v>1.5</v>
      </c>
      <c r="AS59" s="535">
        <f>G59</f>
        <v>0</v>
      </c>
      <c r="AT59" s="535">
        <f>IF(AS59=0,0,IF(AS59="13A（都市ガス）",VLOOKUP("13A",$AR$14:$AT$16,2,FALSE),IF(AS59="12A（都市ガス）",VLOOKUP("12A",$AR$14:$AT$16,2,FALSE),VLOOKUP("LP",$AR$14:$AT$16,2,FALSE))))</f>
        <v>0</v>
      </c>
      <c r="AU59" s="536">
        <f>IF(AS59&lt;&gt;"LPG",VLOOKUP("都市ガス",係数!$B$3:$I$30,8,FALSE),VLOOKUP("液化石油ガス（LPG）",係数!$B$3:$I$30,8,FALSE)/0.458)</f>
        <v>2.0500000000000002E-3</v>
      </c>
      <c r="AV59" s="537">
        <f>IF(AS59&lt;&gt;"LPG",VLOOKUP("都市ガス",係数!$B$3:$C$30,2,FALSE),VLOOKUP("液化石油ガス（LPG）",係数!$B$3:$C$30,2,FALSE)/0.458)</f>
        <v>45</v>
      </c>
      <c r="AW59" s="535">
        <f t="shared" ref="AW59:AW62" si="22">AA59</f>
        <v>0</v>
      </c>
      <c r="AX59" s="535">
        <f>IF(AW59=0,0,IF(AW59="13A（都市ガス）",VLOOKUP("13A",$AR$14:$AS$16,2,FALSE),IF(AW59="12A（都市ガス）",VLOOKUP("12A",$AR$14:$AS$16,2,FALSE),VLOOKUP("LP",$AR$14:$AS$16,2,FALSE))))</f>
        <v>0</v>
      </c>
      <c r="AY59" s="536">
        <f>IF(AW59&lt;&gt;"LPG",VLOOKUP("都市ガス",係数!$B$3:$I$30,8,FALSE),VLOOKUP("液化石油ガス（LPG）",係数!$B$3:$I$30,8,FALSE)/0.458)</f>
        <v>2.0500000000000002E-3</v>
      </c>
      <c r="AZ59" s="537">
        <f>IF(AW59&lt;&gt;"LPG",VLOOKUP("都市ガス",係数!$B$3:$C$30,2,FALSE),VLOOKUP("液化石油ガス（LPG）",係数!$B$3:$C$30,2,FALSE)/0.458)</f>
        <v>45</v>
      </c>
    </row>
    <row r="60" spans="1:52">
      <c r="A60" s="498"/>
      <c r="B60" s="513" t="s">
        <v>43</v>
      </c>
      <c r="C60" s="588" t="s">
        <v>868</v>
      </c>
      <c r="D60" s="589">
        <v>1</v>
      </c>
      <c r="E60" s="588">
        <v>2003</v>
      </c>
      <c r="F60" s="590" t="s">
        <v>860</v>
      </c>
      <c r="G60" s="591" t="s">
        <v>861</v>
      </c>
      <c r="H60" s="592">
        <v>45</v>
      </c>
      <c r="I60" s="593">
        <v>1.1200000000000001</v>
      </c>
      <c r="J60" s="593">
        <v>40.200000000000003</v>
      </c>
      <c r="K60" s="594">
        <v>8</v>
      </c>
      <c r="L60" s="594">
        <v>80</v>
      </c>
      <c r="M60" s="531">
        <f t="shared" ref="M60" si="23">K60*L60</f>
        <v>640</v>
      </c>
      <c r="N60" s="266">
        <v>53</v>
      </c>
      <c r="O60" s="595">
        <v>1.1499999999999999</v>
      </c>
      <c r="P60" s="595">
        <v>36.4</v>
      </c>
      <c r="Q60" s="594">
        <v>8</v>
      </c>
      <c r="R60" s="594">
        <v>110</v>
      </c>
      <c r="S60" s="531">
        <f>Q60*R60</f>
        <v>880</v>
      </c>
      <c r="T60" s="369">
        <f>D60*I60*M60*$I$17*$AR60+D60*O60*S60*$J$17*$AR60</f>
        <v>1009.6192</v>
      </c>
      <c r="U60" s="531">
        <f>IF(AT60&lt;&gt;0,D60*J60*M60*860/$AT60*$I$17*AR60+D60*P60*S60*860/$AT60*$J$17*AR60,0)</f>
        <v>2637.216581818182</v>
      </c>
      <c r="V60" s="596">
        <f>T60*係数!$I$30+U60*$AU60</f>
        <v>5.8626418711272734</v>
      </c>
      <c r="W60" s="596">
        <f>(T60*係数!$C$30+U60*$AV60)*0.0000258</f>
        <v>3.2868646866013096</v>
      </c>
      <c r="X60" s="588" t="s">
        <v>1056</v>
      </c>
      <c r="Y60" s="589">
        <v>1</v>
      </c>
      <c r="Z60" s="591" t="s">
        <v>860</v>
      </c>
      <c r="AA60" s="591" t="s">
        <v>861</v>
      </c>
      <c r="AB60" s="592">
        <v>45</v>
      </c>
      <c r="AC60" s="597">
        <v>0.64900000000000002</v>
      </c>
      <c r="AD60" s="595">
        <v>36.6</v>
      </c>
      <c r="AE60" s="592">
        <v>50</v>
      </c>
      <c r="AF60" s="597">
        <v>0.47</v>
      </c>
      <c r="AG60" s="595">
        <v>34.4</v>
      </c>
      <c r="AH60" s="7">
        <f>Y60*AC60*M60*$I$17+Y60*AF60*S60*$J$17</f>
        <v>331.584</v>
      </c>
      <c r="AI60" s="598">
        <f>IF($AX60&lt;&gt;0,Y60*AD60*$M60*860/$AX60*$I$17+Y60*$AG60*S60*860/$AX60*$J$17,0)</f>
        <v>1679.2203636363638</v>
      </c>
      <c r="AJ60" s="599">
        <f>AH60*係数!$I$30+AI60*$AY60</f>
        <v>3.5922777134545458</v>
      </c>
      <c r="AK60" s="599">
        <f>(AH60*係数!$C$30+AI60*$AZ60)*0.0000258</f>
        <v>2.0234888947898182</v>
      </c>
      <c r="AL60" s="91">
        <f t="shared" si="20"/>
        <v>678.03520000000003</v>
      </c>
      <c r="AM60" s="600">
        <f t="shared" si="20"/>
        <v>957.99621818181822</v>
      </c>
      <c r="AN60" s="601">
        <f t="shared" si="20"/>
        <v>2.2703641576727276</v>
      </c>
      <c r="AO60" s="602">
        <f t="shared" si="20"/>
        <v>1.2633757918114914</v>
      </c>
      <c r="AP60" s="498"/>
      <c r="AQ60" s="533">
        <f>E60</f>
        <v>2003</v>
      </c>
      <c r="AR60" s="534">
        <f t="shared" si="21"/>
        <v>1.46</v>
      </c>
      <c r="AS60" s="535" t="str">
        <f>G60</f>
        <v>13A（都市ガス）</v>
      </c>
      <c r="AT60" s="535">
        <f>IF(AS60=0,0,IF(AS60="13A（都市ガス）",VLOOKUP("13A",$AR$14:$AT$16,2,FALSE),IF(AS60="12A（都市ガス）",VLOOKUP("12A",$AR$14:$AT$16,2,FALSE),VLOOKUP("LP",$AR$14:$AT$16,2,FALSE))))</f>
        <v>11000</v>
      </c>
      <c r="AU60" s="536">
        <f>IF(AS60&lt;&gt;"LPG",VLOOKUP("都市ガス",係数!$B$3:$I$30,8,FALSE),VLOOKUP("液化石油ガス（LPG）",係数!$B$3:$I$30,8,FALSE)/0.458)</f>
        <v>2.0500000000000002E-3</v>
      </c>
      <c r="AV60" s="537">
        <f>IF(AS60&lt;&gt;"LPG",VLOOKUP("都市ガス",係数!$B$3:$C$30,2,FALSE),VLOOKUP("液化石油ガス（LPG）",係数!$B$3:$C$30,2,FALSE)/0.458)</f>
        <v>45</v>
      </c>
      <c r="AW60" s="535" t="str">
        <f t="shared" si="22"/>
        <v>13A（都市ガス）</v>
      </c>
      <c r="AX60" s="535">
        <f>IF(AW60=0,0,IF(AW60="13A（都市ガス）",VLOOKUP("13A",$AR$14:$AS$16,2,FALSE),IF(AW60="12A（都市ガス）",VLOOKUP("12A",$AR$14:$AS$16,2,FALSE),VLOOKUP("LP",$AR$14:$AS$16,2,FALSE))))</f>
        <v>11000</v>
      </c>
      <c r="AY60" s="536">
        <f>IF(AW60&lt;&gt;"LPG",VLOOKUP("都市ガス",係数!$B$3:$I$30,8,FALSE),VLOOKUP("液化石油ガス（LPG）",係数!$B$3:$I$30,8,FALSE)/0.458)</f>
        <v>2.0500000000000002E-3</v>
      </c>
      <c r="AZ60" s="537">
        <f>IF(AW60&lt;&gt;"LPG",VLOOKUP("都市ガス",係数!$B$3:$C$30,2,FALSE),VLOOKUP("液化石油ガス（LPG）",係数!$B$3:$C$30,2,FALSE)/0.458)</f>
        <v>45</v>
      </c>
    </row>
    <row r="61" spans="1:52">
      <c r="A61" s="498"/>
      <c r="B61" s="513" t="s">
        <v>44</v>
      </c>
      <c r="C61" s="588" t="s">
        <v>869</v>
      </c>
      <c r="D61" s="589">
        <v>1</v>
      </c>
      <c r="E61" s="588">
        <v>2009</v>
      </c>
      <c r="F61" s="590" t="s">
        <v>863</v>
      </c>
      <c r="G61" s="591"/>
      <c r="H61" s="592">
        <v>90</v>
      </c>
      <c r="I61" s="593">
        <v>33.799999999999997</v>
      </c>
      <c r="J61" s="593"/>
      <c r="K61" s="594">
        <v>8</v>
      </c>
      <c r="L61" s="594">
        <v>120</v>
      </c>
      <c r="M61" s="531"/>
      <c r="N61" s="266">
        <v>100</v>
      </c>
      <c r="O61" s="595">
        <v>23.9</v>
      </c>
      <c r="P61" s="595"/>
      <c r="Q61" s="594">
        <v>8</v>
      </c>
      <c r="R61" s="594">
        <v>90</v>
      </c>
      <c r="S61" s="531">
        <f>Q61*R61</f>
        <v>720</v>
      </c>
      <c r="T61" s="369">
        <f>D61*I61*M61*$I$17*$AR61+D61*O61*S61*$J$17*$AR61</f>
        <v>9223.4880000000012</v>
      </c>
      <c r="U61" s="531">
        <f>IF(AT61&lt;&gt;0,D61*J61*M61*860/$AT61*$I$17*AR61+D61*P61*S61*860/$AT61*$J$17*AR61,0)</f>
        <v>0</v>
      </c>
      <c r="V61" s="596">
        <f>T61*係数!$I$30+U61*$AU61</f>
        <v>4.1690165760000006</v>
      </c>
      <c r="W61" s="596">
        <f>(T61*係数!$C$30+U61*$AV61)*0.0000258</f>
        <v>2.0560261570560008</v>
      </c>
      <c r="X61" s="588" t="s">
        <v>1057</v>
      </c>
      <c r="Y61" s="589">
        <v>6</v>
      </c>
      <c r="Z61" s="591" t="s">
        <v>863</v>
      </c>
      <c r="AA61" s="591"/>
      <c r="AB61" s="592">
        <v>14</v>
      </c>
      <c r="AC61" s="597">
        <v>5.3</v>
      </c>
      <c r="AD61" s="595"/>
      <c r="AE61" s="592">
        <v>16</v>
      </c>
      <c r="AF61" s="597">
        <v>3.72</v>
      </c>
      <c r="AG61" s="595"/>
      <c r="AH61" s="7">
        <f>Y61*AC61*M61*$I$17+Y61*AF61*S61*$J$17</f>
        <v>6428.16</v>
      </c>
      <c r="AI61" s="598">
        <f>IF($AX61&lt;&gt;0,Y61*AD61*$M61*860/$AX61*$I$17+Y61*$AG61*S61*860/$AX61*$J$17,0)</f>
        <v>0</v>
      </c>
      <c r="AJ61" s="599">
        <f>AH61*係数!$I$30+AI61*$AY61</f>
        <v>2.9055283199999997</v>
      </c>
      <c r="AK61" s="599">
        <f>(AH61*係数!$C$30+AI61*$AZ61)*0.0000258</f>
        <v>1.43291400192</v>
      </c>
      <c r="AL61" s="91">
        <f t="shared" si="20"/>
        <v>2795.3280000000013</v>
      </c>
      <c r="AM61" s="600">
        <f t="shared" si="20"/>
        <v>0</v>
      </c>
      <c r="AN61" s="601">
        <f t="shared" si="20"/>
        <v>1.2634882560000009</v>
      </c>
      <c r="AO61" s="602">
        <f t="shared" si="20"/>
        <v>0.62311215513600082</v>
      </c>
      <c r="AP61" s="498"/>
      <c r="AQ61" s="533">
        <f>E61</f>
        <v>2009</v>
      </c>
      <c r="AR61" s="534">
        <f t="shared" si="21"/>
        <v>1.34</v>
      </c>
      <c r="AS61" s="535">
        <f>G61</f>
        <v>0</v>
      </c>
      <c r="AT61" s="535">
        <f>IF(AS61=0,0,IF(AS61="13A（都市ガス）",VLOOKUP("13A",$AR$14:$AT$16,2,FALSE),IF(AS61="12A（都市ガス）",VLOOKUP("12A",$AR$14:$AT$16,2,FALSE),VLOOKUP("LP",$AR$14:$AT$16,2,FALSE))))</f>
        <v>0</v>
      </c>
      <c r="AU61" s="536">
        <f>IF(AS61&lt;&gt;"LPG",VLOOKUP("都市ガス",係数!$B$3:$I$30,8,FALSE),VLOOKUP("液化石油ガス（LPG）",係数!$B$3:$I$30,8,FALSE)/0.458)</f>
        <v>2.0500000000000002E-3</v>
      </c>
      <c r="AV61" s="537">
        <f>IF(AS61&lt;&gt;"LPG",VLOOKUP("都市ガス",係数!$B$3:$C$30,2,FALSE),VLOOKUP("液化石油ガス（LPG）",係数!$B$3:$C$30,2,FALSE)/0.458)</f>
        <v>45</v>
      </c>
      <c r="AW61" s="535">
        <f t="shared" si="22"/>
        <v>0</v>
      </c>
      <c r="AX61" s="535">
        <f>IF(AW61=0,0,IF(AW61="13A（都市ガス）",VLOOKUP("13A",$AR$14:$AS$16,2,FALSE),IF(AW61="12A（都市ガス）",VLOOKUP("12A",$AR$14:$AS$16,2,FALSE),VLOOKUP("LP",$AR$14:$AS$16,2,FALSE))))</f>
        <v>0</v>
      </c>
      <c r="AY61" s="536">
        <f>IF(AW61&lt;&gt;"LPG",VLOOKUP("都市ガス",係数!$B$3:$I$30,8,FALSE),VLOOKUP("液化石油ガス（LPG）",係数!$B$3:$I$30,8,FALSE)/0.458)</f>
        <v>2.0500000000000002E-3</v>
      </c>
      <c r="AZ61" s="537">
        <f>IF(AW61&lt;&gt;"LPG",VLOOKUP("都市ガス",係数!$B$3:$C$30,2,FALSE),VLOOKUP("液化石油ガス（LPG）",係数!$B$3:$C$30,2,FALSE)/0.458)</f>
        <v>45</v>
      </c>
    </row>
    <row r="62" spans="1:52">
      <c r="A62" s="498"/>
      <c r="B62" s="513" t="s">
        <v>45</v>
      </c>
      <c r="C62" s="588" t="s">
        <v>870</v>
      </c>
      <c r="D62" s="589">
        <v>1</v>
      </c>
      <c r="E62" s="588">
        <v>2008</v>
      </c>
      <c r="F62" s="590" t="s">
        <v>860</v>
      </c>
      <c r="G62" s="591" t="s">
        <v>862</v>
      </c>
      <c r="H62" s="592">
        <v>33.5</v>
      </c>
      <c r="I62" s="593">
        <v>0.96</v>
      </c>
      <c r="J62" s="593">
        <v>29.9</v>
      </c>
      <c r="K62" s="594">
        <v>9</v>
      </c>
      <c r="L62" s="594">
        <v>110</v>
      </c>
      <c r="M62" s="531">
        <v>990</v>
      </c>
      <c r="N62" s="592">
        <v>37.5</v>
      </c>
      <c r="O62" s="595">
        <v>1.1499999999999999</v>
      </c>
      <c r="P62" s="595">
        <v>29.6</v>
      </c>
      <c r="Q62" s="594">
        <v>9</v>
      </c>
      <c r="R62" s="594">
        <v>90</v>
      </c>
      <c r="S62" s="531">
        <f t="shared" ref="S62" si="24">Q62*R62</f>
        <v>810</v>
      </c>
      <c r="T62" s="369">
        <f>D62*I62*M62*$I$17*$AR62+D62*O62*S62*$J$17*$AR62</f>
        <v>1023.7536</v>
      </c>
      <c r="U62" s="531">
        <f>IF(AT62&lt;&gt;0,D62*J62*M62*860/$AT62*$I$17*AR62+D62*P62*S62*860/$AT62*$J$17*AR62,0)</f>
        <v>1044.3943199999999</v>
      </c>
      <c r="V62" s="596">
        <f>T62*係数!$I$30+U62*$AU62</f>
        <v>7.2907723396873347</v>
      </c>
      <c r="W62" s="596">
        <f>(T62*係数!$C$30+U62*$AV62)*0.0000258</f>
        <v>3.1757248885652958</v>
      </c>
      <c r="X62" s="588" t="s">
        <v>1058</v>
      </c>
      <c r="Y62" s="589">
        <v>1</v>
      </c>
      <c r="Z62" s="591" t="s">
        <v>863</v>
      </c>
      <c r="AA62" s="591"/>
      <c r="AB62" s="592">
        <v>33.5</v>
      </c>
      <c r="AC62" s="597">
        <v>10.1</v>
      </c>
      <c r="AD62" s="595"/>
      <c r="AE62" s="592">
        <v>37.5</v>
      </c>
      <c r="AF62" s="597">
        <v>9.7200000000000006</v>
      </c>
      <c r="AG62" s="595"/>
      <c r="AH62" s="7">
        <f>Y62*AC62*M62*$I$17+Y62*AF62*S62*$J$17</f>
        <v>7148.880000000001</v>
      </c>
      <c r="AI62" s="598">
        <f>IF($AX62&lt;&gt;0,Y62*AD62*$M62*860/$AX62*$I$17+Y62*$AG62*S62*860/$AX62*$J$17,0)</f>
        <v>0</v>
      </c>
      <c r="AJ62" s="599">
        <f>AH62*係数!$I$30+AI62*$AY62</f>
        <v>3.2312937600000002</v>
      </c>
      <c r="AK62" s="599">
        <f>(AH62*係数!$C$30+AI62*$AZ62)*0.0000258</f>
        <v>1.5935711385600004</v>
      </c>
      <c r="AL62" s="91">
        <f t="shared" si="20"/>
        <v>-6125.126400000001</v>
      </c>
      <c r="AM62" s="600">
        <f t="shared" si="20"/>
        <v>1044.3943199999999</v>
      </c>
      <c r="AN62" s="601">
        <f t="shared" si="20"/>
        <v>4.0594785796873349</v>
      </c>
      <c r="AO62" s="602">
        <f t="shared" si="20"/>
        <v>1.5821537500052953</v>
      </c>
      <c r="AP62" s="498"/>
      <c r="AQ62" s="533">
        <f>E62</f>
        <v>2008</v>
      </c>
      <c r="AR62" s="534">
        <f t="shared" si="21"/>
        <v>1.3599999999999999</v>
      </c>
      <c r="AS62" s="535" t="str">
        <f>G62</f>
        <v>LPG</v>
      </c>
      <c r="AT62" s="535">
        <f>IF(AS62=0,0,IF(AS62="13A（都市ガス）",VLOOKUP("13A",$AR$14:$AT$16,2,FALSE),IF(AS62="12A（都市ガス）",VLOOKUP("12A",$AR$14:$AT$16,2,FALSE),VLOOKUP("LP",$AR$14:$AT$16,2,FALSE))))</f>
        <v>24000</v>
      </c>
      <c r="AU62" s="536">
        <f>IF(AS62&lt;&gt;"LPG",VLOOKUP("都市ガス",係数!$B$3:$I$30,8,FALSE),VLOOKUP("液化石油ガス（LPG）",係数!$B$3:$I$30,8,FALSE)/0.458)</f>
        <v>6.5377947598253272E-3</v>
      </c>
      <c r="AV62" s="537">
        <f>IF(AS62&lt;&gt;"LPG",VLOOKUP("都市ガス",係数!$B$3:$C$30,2,FALSE),VLOOKUP("液化石油ガス（LPG）",係数!$B$3:$C$30,2,FALSE)/0.458)</f>
        <v>109.3886462882096</v>
      </c>
      <c r="AW62" s="535">
        <f t="shared" si="22"/>
        <v>0</v>
      </c>
      <c r="AX62" s="535">
        <f>IF(AW62=0,0,IF(AW62="13A（都市ガス）",VLOOKUP("13A",$AR$14:$AS$16,2,FALSE),IF(AW62="12A（都市ガス）",VLOOKUP("12A",$AR$14:$AS$16,2,FALSE),VLOOKUP("LP",$AR$14:$AS$16,2,FALSE))))</f>
        <v>0</v>
      </c>
      <c r="AY62" s="536">
        <f>IF(AW62&lt;&gt;"LPG",VLOOKUP("都市ガス",係数!$B$3:$I$30,8,FALSE),VLOOKUP("液化石油ガス（LPG）",係数!$B$3:$I$30,8,FALSE)/0.458)</f>
        <v>2.0500000000000002E-3</v>
      </c>
      <c r="AZ62" s="537">
        <f>IF(AW62&lt;&gt;"LPG",VLOOKUP("都市ガス",係数!$B$3:$C$30,2,FALSE),VLOOKUP("液化石油ガス（LPG）",係数!$B$3:$C$30,2,FALSE)/0.458)</f>
        <v>45</v>
      </c>
    </row>
    <row r="63" spans="1:52">
      <c r="A63" s="498"/>
      <c r="B63" s="498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  <c r="AF63" s="498"/>
      <c r="AG63" s="498"/>
      <c r="AH63" s="498"/>
      <c r="AI63" s="498"/>
      <c r="AJ63" s="498"/>
      <c r="AK63" s="498"/>
      <c r="AL63" s="498"/>
      <c r="AM63" s="498"/>
      <c r="AN63" s="498"/>
      <c r="AO63" s="498"/>
      <c r="AP63" s="498"/>
      <c r="AQ63" s="498"/>
      <c r="AR63" s="498"/>
      <c r="AS63" s="498"/>
      <c r="AT63" s="498"/>
      <c r="AU63" s="498"/>
      <c r="AV63" s="498"/>
      <c r="AW63" s="498"/>
      <c r="AX63" s="498"/>
      <c r="AY63" s="498"/>
      <c r="AZ63" s="498"/>
    </row>
    <row r="64" spans="1:52" ht="19.5" thickBot="1">
      <c r="A64" s="498"/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  <c r="AF64" s="498"/>
      <c r="AG64" s="498"/>
      <c r="AH64" s="498"/>
      <c r="AI64" s="498"/>
      <c r="AJ64" s="498"/>
      <c r="AK64" s="498"/>
      <c r="AL64" s="498"/>
      <c r="AM64" s="498"/>
      <c r="AN64" s="498"/>
      <c r="AO64" s="498"/>
      <c r="AP64" s="498"/>
      <c r="AQ64" s="498"/>
      <c r="AR64" s="498"/>
      <c r="AS64" s="498"/>
      <c r="AT64" s="498"/>
      <c r="AU64" s="498"/>
      <c r="AV64" s="498"/>
      <c r="AW64" s="498"/>
      <c r="AX64" s="498"/>
      <c r="AY64" s="498"/>
      <c r="AZ64" s="498"/>
    </row>
    <row r="65" spans="1:52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603" t="s">
        <v>318</v>
      </c>
      <c r="S65" s="604"/>
      <c r="T65" s="604"/>
      <c r="U65" s="604"/>
      <c r="V65" s="605"/>
      <c r="W65" s="498"/>
      <c r="X65" s="498"/>
      <c r="Y65" s="498"/>
      <c r="Z65" s="498"/>
      <c r="AA65" s="498"/>
      <c r="AB65" s="498"/>
      <c r="AC65" s="498"/>
      <c r="AD65" s="498"/>
      <c r="AE65" s="498"/>
      <c r="AF65" s="498"/>
      <c r="AG65" s="498"/>
      <c r="AH65" s="498"/>
      <c r="AI65" s="498"/>
      <c r="AJ65" s="498"/>
      <c r="AK65" s="498"/>
      <c r="AL65" s="498"/>
      <c r="AM65" s="498"/>
      <c r="AN65" s="498"/>
      <c r="AO65" s="498"/>
      <c r="AP65" s="498"/>
      <c r="AQ65" s="498"/>
      <c r="AR65" s="498"/>
      <c r="AS65" s="498"/>
      <c r="AT65" s="498"/>
      <c r="AU65" s="498"/>
      <c r="AV65" s="498"/>
      <c r="AW65" s="498"/>
      <c r="AX65" s="498"/>
      <c r="AY65" s="498"/>
      <c r="AZ65" s="498"/>
    </row>
    <row r="66" spans="1:52">
      <c r="A66" s="498"/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606" t="s">
        <v>323</v>
      </c>
      <c r="S66" s="607"/>
      <c r="T66" s="608"/>
      <c r="U66" s="607" t="s">
        <v>878</v>
      </c>
      <c r="V66" s="609"/>
      <c r="W66" s="498"/>
      <c r="X66" s="498"/>
      <c r="Y66" s="498"/>
      <c r="Z66" s="498"/>
      <c r="AA66" s="498"/>
      <c r="AB66" s="498"/>
      <c r="AC66" s="498"/>
      <c r="AD66" s="498"/>
      <c r="AE66" s="498"/>
      <c r="AF66" s="498"/>
      <c r="AG66" s="498"/>
      <c r="AH66" s="498"/>
      <c r="AI66" s="498"/>
      <c r="AJ66" s="498"/>
      <c r="AK66" s="498"/>
      <c r="AL66" s="498"/>
      <c r="AM66" s="498"/>
      <c r="AN66" s="498"/>
      <c r="AO66" s="498"/>
      <c r="AP66" s="498"/>
      <c r="AQ66" s="498"/>
      <c r="AR66" s="498"/>
      <c r="AS66" s="498"/>
      <c r="AT66" s="498"/>
      <c r="AU66" s="498"/>
      <c r="AV66" s="498"/>
      <c r="AW66" s="498"/>
      <c r="AX66" s="498"/>
      <c r="AY66" s="498"/>
      <c r="AZ66" s="498"/>
    </row>
    <row r="67" spans="1:52">
      <c r="A67" s="498"/>
      <c r="B67" s="498"/>
      <c r="C67" s="498"/>
      <c r="D67" s="498"/>
      <c r="E67" s="498"/>
      <c r="F67" s="498"/>
      <c r="G67" s="498"/>
      <c r="H67" s="498"/>
      <c r="I67" s="498"/>
      <c r="J67" s="498"/>
      <c r="K67" s="498"/>
      <c r="L67" s="498"/>
      <c r="M67" s="498"/>
      <c r="N67" s="498"/>
      <c r="O67" s="498"/>
      <c r="P67" s="498"/>
      <c r="Q67" s="498"/>
      <c r="R67" s="610" t="s">
        <v>324</v>
      </c>
      <c r="S67" s="611"/>
      <c r="T67" s="608"/>
      <c r="U67" s="611" t="s">
        <v>877</v>
      </c>
      <c r="V67" s="612"/>
      <c r="W67" s="498"/>
      <c r="X67" s="498"/>
      <c r="Y67" s="498"/>
      <c r="Z67" s="498"/>
      <c r="AA67" s="498"/>
      <c r="AB67" s="498"/>
      <c r="AC67" s="498"/>
      <c r="AD67" s="498"/>
      <c r="AE67" s="498"/>
      <c r="AF67" s="498"/>
      <c r="AG67" s="498"/>
      <c r="AH67" s="498"/>
      <c r="AI67" s="498"/>
      <c r="AJ67" s="498"/>
      <c r="AK67" s="498"/>
      <c r="AL67" s="498"/>
      <c r="AM67" s="498"/>
      <c r="AN67" s="498"/>
      <c r="AO67" s="498"/>
      <c r="AP67" s="498"/>
      <c r="AQ67" s="498"/>
      <c r="AR67" s="498"/>
      <c r="AS67" s="498"/>
      <c r="AT67" s="498"/>
      <c r="AU67" s="498"/>
      <c r="AV67" s="498"/>
      <c r="AW67" s="498"/>
      <c r="AX67" s="498"/>
      <c r="AY67" s="498"/>
      <c r="AZ67" s="498"/>
    </row>
    <row r="68" spans="1:52">
      <c r="A68" s="498"/>
      <c r="B68" s="498"/>
      <c r="C68" s="498"/>
      <c r="D68" s="498"/>
      <c r="E68" s="498"/>
      <c r="F68" s="498"/>
      <c r="G68" s="498"/>
      <c r="H68" s="498"/>
      <c r="I68" s="498"/>
      <c r="J68" s="498"/>
      <c r="K68" s="498"/>
      <c r="L68" s="498"/>
      <c r="M68" s="498"/>
      <c r="N68" s="498"/>
      <c r="O68" s="498"/>
      <c r="P68" s="498"/>
      <c r="Q68" s="498"/>
      <c r="R68" s="606" t="s">
        <v>871</v>
      </c>
      <c r="S68" s="608"/>
      <c r="T68" s="613" t="s">
        <v>339</v>
      </c>
      <c r="U68" s="614">
        <v>14</v>
      </c>
      <c r="V68" s="609"/>
      <c r="W68" s="498"/>
      <c r="X68" s="498"/>
      <c r="Y68" s="498"/>
      <c r="Z68" s="498"/>
      <c r="AA68" s="498"/>
      <c r="AB68" s="498"/>
      <c r="AC68" s="498"/>
      <c r="AD68" s="615"/>
      <c r="AE68" s="616"/>
      <c r="AF68" s="498"/>
      <c r="AG68" s="498"/>
      <c r="AH68" s="498"/>
      <c r="AI68" s="498"/>
      <c r="AJ68" s="498"/>
      <c r="AK68" s="498"/>
      <c r="AL68" s="498"/>
      <c r="AM68" s="498"/>
      <c r="AN68" s="498"/>
      <c r="AO68" s="498"/>
      <c r="AP68" s="498"/>
      <c r="AQ68" s="498"/>
      <c r="AR68" s="498"/>
      <c r="AS68" s="498"/>
      <c r="AT68" s="498"/>
      <c r="AU68" s="498"/>
      <c r="AV68" s="498"/>
      <c r="AW68" s="498"/>
      <c r="AX68" s="498"/>
      <c r="AY68" s="498"/>
      <c r="AZ68" s="498"/>
    </row>
    <row r="69" spans="1:52">
      <c r="A69" s="498"/>
      <c r="B69" s="498"/>
      <c r="C69" s="498"/>
      <c r="D69" s="498"/>
      <c r="E69" s="498"/>
      <c r="F69" s="498"/>
      <c r="G69" s="498"/>
      <c r="H69" s="498"/>
      <c r="I69" s="498"/>
      <c r="J69" s="498"/>
      <c r="K69" s="498"/>
      <c r="L69" s="498"/>
      <c r="M69" s="498"/>
      <c r="N69" s="498"/>
      <c r="O69" s="498"/>
      <c r="P69" s="498"/>
      <c r="Q69" s="498"/>
      <c r="R69" s="606" t="s">
        <v>872</v>
      </c>
      <c r="S69" s="608"/>
      <c r="T69" s="613" t="s">
        <v>339</v>
      </c>
      <c r="U69" s="617">
        <v>4.79</v>
      </c>
      <c r="V69" s="609"/>
      <c r="W69" s="498"/>
      <c r="X69" s="498"/>
      <c r="Y69" s="498"/>
      <c r="Z69" s="498"/>
      <c r="AA69" s="498"/>
      <c r="AB69" s="498"/>
      <c r="AC69" s="498"/>
      <c r="AD69" s="615"/>
      <c r="AE69" s="618"/>
      <c r="AF69" s="498"/>
      <c r="AG69" s="498"/>
      <c r="AH69" s="498"/>
      <c r="AI69" s="498"/>
      <c r="AJ69" s="498"/>
      <c r="AK69" s="498"/>
      <c r="AL69" s="498"/>
      <c r="AM69" s="498"/>
      <c r="AN69" s="498"/>
      <c r="AO69" s="498"/>
      <c r="AP69" s="498"/>
      <c r="AQ69" s="498"/>
      <c r="AR69" s="498"/>
      <c r="AS69" s="498"/>
      <c r="AT69" s="498"/>
      <c r="AU69" s="498"/>
      <c r="AV69" s="498"/>
      <c r="AW69" s="498"/>
      <c r="AX69" s="498"/>
      <c r="AY69" s="498"/>
      <c r="AZ69" s="498"/>
    </row>
    <row r="70" spans="1:52">
      <c r="A70" s="498"/>
      <c r="B70" s="498"/>
      <c r="C70" s="498"/>
      <c r="D70" s="498"/>
      <c r="E70" s="498"/>
      <c r="F70" s="498"/>
      <c r="G70" s="498"/>
      <c r="H70" s="498"/>
      <c r="I70" s="498"/>
      <c r="J70" s="498"/>
      <c r="K70" s="498"/>
      <c r="L70" s="498"/>
      <c r="M70" s="498"/>
      <c r="N70" s="498"/>
      <c r="O70" s="498"/>
      <c r="P70" s="498"/>
      <c r="Q70" s="498"/>
      <c r="R70" s="606" t="s">
        <v>873</v>
      </c>
      <c r="S70" s="608"/>
      <c r="T70" s="613" t="s">
        <v>339</v>
      </c>
      <c r="U70" s="614">
        <v>16</v>
      </c>
      <c r="V70" s="609"/>
      <c r="W70" s="498"/>
      <c r="X70" s="498"/>
      <c r="Y70" s="498"/>
      <c r="Z70" s="498"/>
      <c r="AA70" s="498"/>
      <c r="AB70" s="498"/>
      <c r="AC70" s="498"/>
      <c r="AD70" s="615"/>
      <c r="AE70" s="616"/>
      <c r="AF70" s="498"/>
      <c r="AG70" s="498"/>
      <c r="AH70" s="498"/>
      <c r="AI70" s="498"/>
      <c r="AJ70" s="498"/>
      <c r="AK70" s="498"/>
      <c r="AL70" s="498"/>
      <c r="AM70" s="498"/>
      <c r="AN70" s="498"/>
      <c r="AO70" s="498"/>
      <c r="AP70" s="498"/>
      <c r="AQ70" s="498"/>
      <c r="AR70" s="498"/>
      <c r="AS70" s="498"/>
      <c r="AT70" s="498"/>
      <c r="AU70" s="498"/>
      <c r="AV70" s="498"/>
      <c r="AW70" s="498"/>
      <c r="AX70" s="498"/>
      <c r="AY70" s="498"/>
      <c r="AZ70" s="498"/>
    </row>
    <row r="71" spans="1:52">
      <c r="A71" s="498"/>
      <c r="B71" s="498"/>
      <c r="C71" s="498"/>
      <c r="D71" s="498"/>
      <c r="E71" s="498"/>
      <c r="F71" s="498"/>
      <c r="G71" s="498"/>
      <c r="H71" s="498"/>
      <c r="I71" s="498"/>
      <c r="J71" s="498"/>
      <c r="K71" s="498"/>
      <c r="L71" s="498"/>
      <c r="M71" s="498"/>
      <c r="N71" s="498"/>
      <c r="O71" s="498"/>
      <c r="P71" s="498"/>
      <c r="Q71" s="498"/>
      <c r="R71" s="606" t="s">
        <v>874</v>
      </c>
      <c r="S71" s="608"/>
      <c r="T71" s="613" t="s">
        <v>339</v>
      </c>
      <c r="U71" s="617">
        <v>5.33</v>
      </c>
      <c r="V71" s="609"/>
      <c r="W71" s="498"/>
      <c r="X71" s="498"/>
      <c r="Y71" s="498"/>
      <c r="Z71" s="498"/>
      <c r="AA71" s="498"/>
      <c r="AB71" s="498"/>
      <c r="AC71" s="498"/>
      <c r="AD71" s="615"/>
      <c r="AE71" s="618"/>
      <c r="AF71" s="498"/>
      <c r="AG71" s="498"/>
      <c r="AH71" s="498"/>
      <c r="AI71" s="498"/>
      <c r="AJ71" s="498"/>
      <c r="AK71" s="498"/>
      <c r="AL71" s="498"/>
      <c r="AM71" s="498"/>
      <c r="AN71" s="498"/>
      <c r="AO71" s="498"/>
      <c r="AP71" s="498"/>
      <c r="AQ71" s="498"/>
      <c r="AR71" s="498"/>
      <c r="AS71" s="498"/>
      <c r="AT71" s="498"/>
      <c r="AU71" s="498"/>
      <c r="AV71" s="498"/>
      <c r="AW71" s="498"/>
      <c r="AX71" s="498"/>
      <c r="AY71" s="498"/>
      <c r="AZ71" s="498"/>
    </row>
    <row r="72" spans="1:52">
      <c r="A72" s="498"/>
      <c r="B72" s="498"/>
      <c r="C72" s="498"/>
      <c r="D72" s="498"/>
      <c r="E72" s="498"/>
      <c r="F72" s="498"/>
      <c r="G72" s="498"/>
      <c r="H72" s="498"/>
      <c r="I72" s="498"/>
      <c r="J72" s="498"/>
      <c r="K72" s="498"/>
      <c r="L72" s="498"/>
      <c r="M72" s="498"/>
      <c r="N72" s="498"/>
      <c r="O72" s="498"/>
      <c r="P72" s="498"/>
      <c r="Q72" s="498"/>
      <c r="R72" s="606" t="s">
        <v>875</v>
      </c>
      <c r="S72" s="608"/>
      <c r="T72" s="613" t="s">
        <v>339</v>
      </c>
      <c r="U72" s="614">
        <v>14.5</v>
      </c>
      <c r="V72" s="609"/>
      <c r="W72" s="498"/>
      <c r="X72" s="498"/>
      <c r="Y72" s="498"/>
      <c r="Z72" s="498"/>
      <c r="AA72" s="498"/>
      <c r="AB72" s="498"/>
      <c r="AC72" s="498"/>
      <c r="AD72" s="615"/>
      <c r="AE72" s="616"/>
      <c r="AF72" s="498"/>
      <c r="AG72" s="498"/>
      <c r="AH72" s="498"/>
      <c r="AI72" s="498"/>
      <c r="AJ72" s="498"/>
      <c r="AK72" s="498"/>
      <c r="AL72" s="498"/>
      <c r="AM72" s="498"/>
      <c r="AN72" s="498"/>
      <c r="AO72" s="498"/>
      <c r="AP72" s="498"/>
      <c r="AQ72" s="498"/>
      <c r="AR72" s="498"/>
      <c r="AS72" s="498"/>
      <c r="AT72" s="498"/>
      <c r="AU72" s="498"/>
      <c r="AV72" s="498"/>
      <c r="AW72" s="498"/>
      <c r="AX72" s="498"/>
      <c r="AY72" s="498"/>
      <c r="AZ72" s="498"/>
    </row>
    <row r="73" spans="1:52" ht="19.5" thickBot="1">
      <c r="A73" s="498"/>
      <c r="B73" s="498"/>
      <c r="C73" s="498"/>
      <c r="D73" s="498"/>
      <c r="E73" s="498"/>
      <c r="F73" s="498"/>
      <c r="G73" s="498"/>
      <c r="H73" s="498"/>
      <c r="I73" s="498"/>
      <c r="J73" s="498"/>
      <c r="K73" s="498"/>
      <c r="L73" s="498"/>
      <c r="M73" s="498"/>
      <c r="N73" s="498"/>
      <c r="O73" s="498"/>
      <c r="P73" s="498"/>
      <c r="Q73" s="498"/>
      <c r="R73" s="619" t="s">
        <v>876</v>
      </c>
      <c r="S73" s="620"/>
      <c r="T73" s="621" t="s">
        <v>339</v>
      </c>
      <c r="U73" s="622">
        <v>9.52</v>
      </c>
      <c r="V73" s="623"/>
      <c r="W73" s="498"/>
      <c r="X73" s="498"/>
      <c r="Y73" s="498"/>
      <c r="Z73" s="498"/>
      <c r="AA73" s="498"/>
      <c r="AB73" s="498"/>
      <c r="AC73" s="498"/>
      <c r="AD73" s="615"/>
      <c r="AE73" s="618"/>
      <c r="AF73" s="498"/>
      <c r="AG73" s="498"/>
      <c r="AH73" s="498"/>
      <c r="AI73" s="498"/>
      <c r="AJ73" s="498"/>
      <c r="AK73" s="498"/>
      <c r="AL73" s="498"/>
      <c r="AM73" s="498"/>
      <c r="AN73" s="498"/>
      <c r="AO73" s="498"/>
      <c r="AP73" s="498"/>
      <c r="AQ73" s="498"/>
      <c r="AR73" s="498"/>
      <c r="AS73" s="498"/>
      <c r="AT73" s="498"/>
      <c r="AU73" s="498"/>
      <c r="AV73" s="498"/>
      <c r="AW73" s="498"/>
      <c r="AX73" s="498"/>
      <c r="AY73" s="498"/>
      <c r="AZ73" s="498"/>
    </row>
    <row r="74" spans="1:52">
      <c r="A74" s="498"/>
      <c r="B74" s="498"/>
      <c r="C74" s="498"/>
      <c r="D74" s="498"/>
      <c r="E74" s="498"/>
      <c r="F74" s="498"/>
      <c r="G74" s="498"/>
      <c r="H74" s="498"/>
      <c r="I74" s="498"/>
      <c r="J74" s="498"/>
      <c r="K74" s="498"/>
      <c r="L74" s="498"/>
      <c r="M74" s="498"/>
      <c r="N74" s="498"/>
      <c r="O74" s="498"/>
      <c r="P74" s="498"/>
      <c r="Q74" s="498"/>
      <c r="R74" s="498"/>
      <c r="S74" s="498"/>
      <c r="T74" s="498"/>
      <c r="U74" s="498"/>
      <c r="V74" s="498"/>
      <c r="W74" s="498"/>
      <c r="X74" s="498"/>
      <c r="Y74" s="498"/>
      <c r="Z74" s="498"/>
      <c r="AA74" s="498"/>
      <c r="AB74" s="498"/>
      <c r="AC74" s="498"/>
      <c r="AD74" s="498"/>
      <c r="AE74" s="498"/>
      <c r="AF74" s="498"/>
      <c r="AG74" s="498"/>
      <c r="AH74" s="498"/>
      <c r="AI74" s="498"/>
      <c r="AJ74" s="498"/>
      <c r="AK74" s="498"/>
      <c r="AL74" s="498"/>
      <c r="AM74" s="498"/>
      <c r="AN74" s="498"/>
      <c r="AO74" s="498"/>
      <c r="AP74" s="498"/>
      <c r="AQ74" s="498"/>
      <c r="AR74" s="498"/>
      <c r="AS74" s="498"/>
      <c r="AT74" s="498"/>
      <c r="AU74" s="498"/>
      <c r="AV74" s="498"/>
      <c r="AW74" s="498"/>
      <c r="AX74" s="498"/>
      <c r="AY74" s="498"/>
      <c r="AZ74" s="498"/>
    </row>
    <row r="75" spans="1:52">
      <c r="A75" s="498"/>
      <c r="B75" s="498"/>
      <c r="C75" s="498"/>
      <c r="D75" s="498"/>
      <c r="E75" s="498"/>
      <c r="F75" s="498"/>
      <c r="G75" s="498"/>
      <c r="H75" s="498"/>
      <c r="I75" s="498"/>
      <c r="J75" s="498"/>
      <c r="K75" s="498"/>
      <c r="L75" s="498"/>
      <c r="M75" s="498"/>
      <c r="N75" s="498"/>
      <c r="O75" s="498"/>
      <c r="P75" s="498"/>
      <c r="Q75" s="498"/>
      <c r="R75" s="498"/>
      <c r="S75" s="498"/>
      <c r="T75" s="498"/>
      <c r="U75" s="498"/>
      <c r="V75" s="498"/>
      <c r="W75" s="498"/>
      <c r="X75" s="498"/>
      <c r="Y75" s="498"/>
      <c r="Z75" s="498"/>
      <c r="AA75" s="498"/>
      <c r="AB75" s="498"/>
      <c r="AC75" s="498"/>
      <c r="AD75" s="498"/>
      <c r="AE75" s="498"/>
      <c r="AF75" s="498"/>
      <c r="AG75" s="498"/>
      <c r="AH75" s="498"/>
      <c r="AI75" s="498"/>
      <c r="AJ75" s="498"/>
      <c r="AK75" s="498"/>
      <c r="AL75" s="498"/>
      <c r="AM75" s="498"/>
      <c r="AN75" s="498"/>
      <c r="AO75" s="498"/>
      <c r="AP75" s="498"/>
      <c r="AQ75" s="498"/>
      <c r="AR75" s="498"/>
      <c r="AS75" s="498"/>
      <c r="AT75" s="498"/>
      <c r="AU75" s="498"/>
      <c r="AV75" s="498"/>
      <c r="AW75" s="498"/>
      <c r="AX75" s="498"/>
      <c r="AY75" s="498"/>
      <c r="AZ75" s="498"/>
    </row>
    <row r="76" spans="1:52">
      <c r="A76" s="498"/>
      <c r="B76" s="498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P76" s="498"/>
      <c r="Q76" s="498"/>
      <c r="R76" s="498"/>
      <c r="S76" s="498"/>
      <c r="T76" s="498"/>
      <c r="U76" s="498"/>
      <c r="V76" s="498"/>
      <c r="W76" s="498"/>
      <c r="X76" s="498"/>
      <c r="Y76" s="498"/>
      <c r="Z76" s="498"/>
      <c r="AA76" s="498"/>
      <c r="AB76" s="498"/>
      <c r="AC76" s="498"/>
      <c r="AD76" s="498"/>
      <c r="AE76" s="498"/>
      <c r="AF76" s="498"/>
      <c r="AG76" s="498"/>
      <c r="AH76" s="498"/>
      <c r="AI76" s="498"/>
      <c r="AJ76" s="498"/>
      <c r="AK76" s="498"/>
      <c r="AL76" s="498"/>
      <c r="AM76" s="498"/>
      <c r="AN76" s="498"/>
      <c r="AO76" s="498"/>
      <c r="AP76" s="498"/>
      <c r="AQ76" s="498"/>
      <c r="AR76" s="498"/>
      <c r="AS76" s="498"/>
      <c r="AT76" s="498"/>
      <c r="AU76" s="498"/>
      <c r="AV76" s="498"/>
      <c r="AW76" s="498"/>
      <c r="AX76" s="498"/>
      <c r="AY76" s="498"/>
      <c r="AZ76" s="498"/>
    </row>
    <row r="77" spans="1:52">
      <c r="A77" s="498"/>
      <c r="B77" s="498"/>
      <c r="C77" s="498"/>
      <c r="D77" s="498"/>
      <c r="E77" s="498"/>
      <c r="F77" s="498"/>
      <c r="G77" s="498"/>
      <c r="H77" s="498"/>
      <c r="I77" s="498"/>
      <c r="J77" s="498"/>
      <c r="K77" s="498"/>
      <c r="L77" s="498"/>
      <c r="M77" s="498"/>
      <c r="N77" s="498"/>
      <c r="O77" s="498"/>
      <c r="P77" s="498"/>
      <c r="Q77" s="498"/>
      <c r="R77" s="498"/>
      <c r="S77" s="498"/>
      <c r="T77" s="498"/>
      <c r="U77" s="498"/>
      <c r="V77" s="498"/>
      <c r="W77" s="498"/>
      <c r="X77" s="498"/>
      <c r="Y77" s="498"/>
      <c r="Z77" s="498"/>
      <c r="AA77" s="498"/>
      <c r="AB77" s="498"/>
      <c r="AC77" s="498"/>
      <c r="AD77" s="498"/>
      <c r="AE77" s="498"/>
      <c r="AF77" s="498"/>
      <c r="AG77" s="498"/>
      <c r="AH77" s="498"/>
      <c r="AI77" s="498"/>
      <c r="AJ77" s="498"/>
      <c r="AK77" s="498"/>
      <c r="AL77" s="498"/>
      <c r="AM77" s="498"/>
      <c r="AN77" s="498"/>
      <c r="AO77" s="498"/>
      <c r="AP77" s="498"/>
      <c r="AQ77" s="498"/>
      <c r="AR77" s="498"/>
      <c r="AS77" s="498"/>
      <c r="AT77" s="498"/>
      <c r="AU77" s="498"/>
      <c r="AV77" s="498"/>
      <c r="AW77" s="498"/>
      <c r="AX77" s="498"/>
      <c r="AY77" s="498"/>
      <c r="AZ77" s="498"/>
    </row>
    <row r="78" spans="1:52">
      <c r="A78" s="498"/>
      <c r="B78" s="498"/>
      <c r="C78" s="498"/>
      <c r="D78" s="498"/>
      <c r="E78" s="498"/>
      <c r="F78" s="498"/>
      <c r="G78" s="498"/>
      <c r="H78" s="498"/>
      <c r="I78" s="498"/>
      <c r="J78" s="498"/>
      <c r="K78" s="498"/>
      <c r="L78" s="498"/>
      <c r="M78" s="498"/>
      <c r="N78" s="498"/>
      <c r="O78" s="498"/>
      <c r="P78" s="498"/>
      <c r="Q78" s="498"/>
      <c r="R78" s="498"/>
      <c r="S78" s="498"/>
      <c r="T78" s="498"/>
      <c r="U78" s="498"/>
      <c r="V78" s="498"/>
      <c r="W78" s="498"/>
      <c r="X78" s="498"/>
      <c r="Y78" s="498"/>
      <c r="Z78" s="498"/>
      <c r="AA78" s="498"/>
      <c r="AB78" s="498"/>
      <c r="AC78" s="498"/>
      <c r="AD78" s="498"/>
      <c r="AE78" s="498"/>
      <c r="AF78" s="498"/>
      <c r="AG78" s="498"/>
      <c r="AH78" s="498"/>
      <c r="AI78" s="498"/>
      <c r="AJ78" s="498"/>
      <c r="AK78" s="498"/>
      <c r="AL78" s="498"/>
      <c r="AM78" s="498"/>
      <c r="AN78" s="498"/>
      <c r="AO78" s="498"/>
      <c r="AP78" s="498"/>
      <c r="AQ78" s="498"/>
      <c r="AR78" s="498"/>
      <c r="AS78" s="498"/>
      <c r="AT78" s="498"/>
      <c r="AU78" s="498"/>
      <c r="AV78" s="498"/>
      <c r="AW78" s="498"/>
      <c r="AX78" s="498"/>
      <c r="AY78" s="498"/>
      <c r="AZ78" s="498"/>
    </row>
    <row r="79" spans="1:52">
      <c r="A79" s="498"/>
      <c r="B79" s="498"/>
      <c r="C79" s="498"/>
      <c r="D79" s="498"/>
      <c r="E79" s="498"/>
      <c r="F79" s="498"/>
      <c r="G79" s="498"/>
      <c r="H79" s="498"/>
      <c r="I79" s="498"/>
      <c r="J79" s="498"/>
      <c r="K79" s="498"/>
      <c r="L79" s="498"/>
      <c r="M79" s="498"/>
      <c r="N79" s="498"/>
      <c r="O79" s="498"/>
      <c r="P79" s="498"/>
      <c r="Q79" s="498"/>
      <c r="R79" s="498"/>
      <c r="S79" s="498"/>
      <c r="T79" s="498"/>
      <c r="U79" s="498"/>
      <c r="V79" s="498"/>
      <c r="W79" s="498"/>
      <c r="X79" s="498"/>
      <c r="Y79" s="498"/>
      <c r="Z79" s="498"/>
      <c r="AA79" s="498"/>
      <c r="AB79" s="498"/>
      <c r="AC79" s="498"/>
      <c r="AD79" s="498"/>
      <c r="AE79" s="498"/>
      <c r="AF79" s="498"/>
      <c r="AG79" s="498"/>
      <c r="AH79" s="498"/>
      <c r="AI79" s="498"/>
      <c r="AJ79" s="498"/>
      <c r="AK79" s="498"/>
      <c r="AL79" s="498"/>
      <c r="AM79" s="498"/>
      <c r="AN79" s="498"/>
      <c r="AO79" s="498"/>
      <c r="AP79" s="498"/>
      <c r="AQ79" s="498"/>
      <c r="AR79" s="498"/>
      <c r="AS79" s="498"/>
      <c r="AT79" s="498"/>
      <c r="AU79" s="498"/>
      <c r="AV79" s="498"/>
      <c r="AW79" s="498"/>
      <c r="AX79" s="498"/>
      <c r="AY79" s="498"/>
      <c r="AZ79" s="498"/>
    </row>
  </sheetData>
  <sheetProtection algorithmName="SHA-512" hashValue="2g3CEoXz3gGcrj2prXDKNNd2KFL1KklBV8qw22hvIfj1Upgst2chnCP9lVYcsyu5SPgyjVyoVc2GkK7dH9czLA==" saltValue="Tnpa0zVa3hdamkxZ6yT3hg==" spinCount="100000" sheet="1" objects="1" formatCells="0" formatColumns="0" formatRows="0"/>
  <mergeCells count="24">
    <mergeCell ref="I51:J51"/>
    <mergeCell ref="B54:B56"/>
    <mergeCell ref="B4:C4"/>
    <mergeCell ref="B5:C5"/>
    <mergeCell ref="B6:C6"/>
    <mergeCell ref="B7:C7"/>
    <mergeCell ref="B18:B20"/>
    <mergeCell ref="B8:C8"/>
    <mergeCell ref="I4:J4"/>
    <mergeCell ref="I7:J7"/>
    <mergeCell ref="L3:U3"/>
    <mergeCell ref="L4:U4"/>
    <mergeCell ref="L6:U6"/>
    <mergeCell ref="P7:U8"/>
    <mergeCell ref="I15:J15"/>
    <mergeCell ref="T13:AA13"/>
    <mergeCell ref="T12:AA12"/>
    <mergeCell ref="T11:AA11"/>
    <mergeCell ref="AQ13:AR13"/>
    <mergeCell ref="AQ14:AQ15"/>
    <mergeCell ref="I46:J46"/>
    <mergeCell ref="I49:J49"/>
    <mergeCell ref="L7:M7"/>
    <mergeCell ref="L8:M8"/>
  </mergeCells>
  <phoneticPr fontId="8"/>
  <conditionalFormatting sqref="G23:G42 P23:P42 G59:G62 J59:J62 P59:P62">
    <cfRule type="expression" dxfId="74" priority="12">
      <formula>$F23&lt;&gt;"GHP"</formula>
    </cfRule>
  </conditionalFormatting>
  <conditionalFormatting sqref="J23:J42">
    <cfRule type="expression" dxfId="73" priority="11">
      <formula>$F23&lt;&gt;"GHP"</formula>
    </cfRule>
  </conditionalFormatting>
  <conditionalFormatting sqref="P7">
    <cfRule type="cellIs" dxfId="72" priority="65" operator="notEqual">
      <formula>"ー"</formula>
    </cfRule>
  </conditionalFormatting>
  <conditionalFormatting sqref="AA23:AA42 AA59:AA62 AD59:AD62 AG59:AG62">
    <cfRule type="expression" dxfId="71" priority="9">
      <formula>$Z23&lt;&gt;"GHP"</formula>
    </cfRule>
  </conditionalFormatting>
  <conditionalFormatting sqref="AB22">
    <cfRule type="cellIs" dxfId="70" priority="67" operator="greaterThan">
      <formula>$H$22</formula>
    </cfRule>
  </conditionalFormatting>
  <conditionalFormatting sqref="AB58">
    <cfRule type="cellIs" dxfId="69" priority="31" operator="greaterThan">
      <formula>$H$58</formula>
    </cfRule>
  </conditionalFormatting>
  <conditionalFormatting sqref="AC23:AD42 AC59:AD62 AF59:AG62">
    <cfRule type="expression" dxfId="68" priority="7">
      <formula>#REF!&lt;&gt;""</formula>
    </cfRule>
  </conditionalFormatting>
  <conditionalFormatting sqref="AD23:AD42">
    <cfRule type="expression" dxfId="67" priority="8">
      <formula>$Z23&lt;&gt;"GHP"</formula>
    </cfRule>
  </conditionalFormatting>
  <conditionalFormatting sqref="AE22">
    <cfRule type="cellIs" dxfId="66" priority="66" operator="greaterThan">
      <formula>$N$22</formula>
    </cfRule>
  </conditionalFormatting>
  <conditionalFormatting sqref="AE58">
    <cfRule type="cellIs" dxfId="65" priority="30" operator="greaterThan">
      <formula>$N$58</formula>
    </cfRule>
  </conditionalFormatting>
  <conditionalFormatting sqref="AF23:AG42">
    <cfRule type="expression" dxfId="64" priority="21">
      <formula>#REF!&lt;&gt;""</formula>
    </cfRule>
  </conditionalFormatting>
  <conditionalFormatting sqref="AG23:AG42">
    <cfRule type="expression" dxfId="63" priority="15">
      <formula>$Z23&lt;&gt;"GHP"</formula>
    </cfRule>
  </conditionalFormatting>
  <conditionalFormatting sqref="AS23:AZ42 AS59:AZ62">
    <cfRule type="expression" dxfId="62" priority="2">
      <formula>#REF!&lt;&gt;"GHP"</formula>
    </cfRule>
  </conditionalFormatting>
  <dataValidations count="3">
    <dataValidation type="list" allowBlank="1" showInputMessage="1" showErrorMessage="1" sqref="F23:F42 Z23:Z42 F59:F62 Z59:Z62" xr:uid="{00000000-0002-0000-0200-000000000000}">
      <formula1>"電気式,GHP"</formula1>
    </dataValidation>
    <dataValidation type="list" allowBlank="1" showInputMessage="1" showErrorMessage="1" sqref="AA23:AA42 G23:G42 AA59:AA62 G59:G62" xr:uid="{00000000-0002-0000-0200-000001000000}">
      <formula1>"13A（都市ガス）,12A（都市ガス）,LPG"</formula1>
    </dataValidation>
    <dataValidation type="decimal" errorStyle="warning" operator="equal" allowBlank="1" showInputMessage="1" showErrorMessage="1" errorTitle="負荷率の変更について" error="負荷率を変更する場合は、値の根拠となる資料（省エネ診断報告書等）を別途提出してください。" sqref="I17:J17 I53:J53" xr:uid="{00000000-0002-0000-0200-000002000000}">
      <formula1>0.4</formula1>
    </dataValidation>
  </dataValidations>
  <hyperlinks>
    <hyperlink ref="T12" location="search" display="https://sii.or.jp/setsubi07r/search/maker?tab=maker&amp;category=air_conditioning#search" xr:uid="{A9552626-C4CB-4F1A-813C-B315EE0AF0B6}"/>
    <hyperlink ref="T13" display="https://www.env.go.jp/policy/hozen/green/g-law/index.html" xr:uid="{64D560A0-27F8-4A57-9B9E-8009137B054B}"/>
    <hyperlink ref="T11" display="https://www.enecho.meti.go.jp/category/saving_and_new/saving/enterprise/equipment/" xr:uid="{17737835-21C4-4CD7-BE64-1CBA368F72F0}"/>
  </hyperlinks>
  <pageMargins left="0.70866141732283472" right="0.70866141732283472" top="0.74803149606299213" bottom="0.74803149606299213" header="0.31496062992125984" footer="0.31496062992125984"/>
  <pageSetup paperSize="8" scale="39" fitToHeight="0" orientation="landscape" r:id="rId1"/>
  <colBreaks count="1" manualBreakCount="1">
    <brk id="22" max="40" man="1"/>
  </colBreaks>
  <ignoredErrors>
    <ignoredError sqref="AL22:AM22 AI22:AJ22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V57"/>
  <sheetViews>
    <sheetView topLeftCell="C2" zoomScale="85" zoomScaleNormal="85" zoomScaleSheetLayoutView="55" workbookViewId="0">
      <selection activeCell="J14" sqref="J14"/>
    </sheetView>
  </sheetViews>
  <sheetFormatPr defaultColWidth="8.875" defaultRowHeight="18.75"/>
  <cols>
    <col min="1" max="1" width="3.625" customWidth="1"/>
    <col min="2" max="2" width="6.875" customWidth="1"/>
    <col min="3" max="3" width="18.625" customWidth="1"/>
    <col min="4" max="4" width="10.125" customWidth="1"/>
    <col min="5" max="5" width="15.625" customWidth="1"/>
    <col min="6" max="6" width="10.125" customWidth="1"/>
    <col min="7" max="7" width="15.625" customWidth="1"/>
    <col min="8" max="8" width="10.125" customWidth="1"/>
    <col min="9" max="9" width="5.25" customWidth="1"/>
    <col min="10" max="11" width="10.125" customWidth="1"/>
    <col min="12" max="12" width="5.125" customWidth="1"/>
    <col min="13" max="20" width="10.125" customWidth="1"/>
    <col min="21" max="21" width="18.625" customWidth="1"/>
    <col min="22" max="22" width="10.125" customWidth="1"/>
    <col min="23" max="24" width="15.625" customWidth="1"/>
    <col min="25" max="25" width="10.125" customWidth="1"/>
    <col min="26" max="26" width="5.25" customWidth="1"/>
    <col min="27" max="28" width="10.125" customWidth="1"/>
    <col min="29" max="29" width="5.125" customWidth="1"/>
    <col min="30" max="40" width="10.125" customWidth="1"/>
    <col min="41" max="41" width="14.125" customWidth="1"/>
    <col min="42" max="44" width="11.25" customWidth="1"/>
    <col min="45" max="45" width="14.125" customWidth="1"/>
    <col min="46" max="48" width="11.25" customWidth="1"/>
  </cols>
  <sheetData>
    <row r="1" spans="1:46" ht="30">
      <c r="A1" s="11" t="str">
        <f>照明!A1</f>
        <v>令和8年度：排出量削減効果算定シート</v>
      </c>
      <c r="F1" s="110"/>
      <c r="J1" s="74"/>
    </row>
    <row r="2" spans="1:46" ht="30">
      <c r="A2" s="11" t="s">
        <v>349</v>
      </c>
    </row>
    <row r="3" spans="1:46" ht="24">
      <c r="B3" s="126" t="s">
        <v>837</v>
      </c>
      <c r="M3" s="664" t="str">
        <f>IF(OR(O8=O9,P8=P9),"特記事項","特記事項（記載必須）")</f>
        <v>特記事項</v>
      </c>
      <c r="N3" s="664"/>
      <c r="O3" s="664"/>
      <c r="P3" s="664"/>
      <c r="Q3" s="664"/>
      <c r="R3" s="664"/>
      <c r="S3" s="664"/>
      <c r="T3" s="664"/>
      <c r="U3" s="664"/>
      <c r="V3" s="664"/>
      <c r="AM3" s="56"/>
      <c r="AN3" s="56"/>
    </row>
    <row r="4" spans="1:46">
      <c r="B4" s="700" t="s">
        <v>17</v>
      </c>
      <c r="C4" s="701"/>
      <c r="D4" s="89" t="s">
        <v>18</v>
      </c>
      <c r="E4" s="38" t="s">
        <v>19</v>
      </c>
      <c r="F4" s="38" t="s">
        <v>20</v>
      </c>
      <c r="G4" s="38" t="s">
        <v>21</v>
      </c>
      <c r="M4" s="704" t="s">
        <v>904</v>
      </c>
      <c r="N4" s="704"/>
      <c r="O4" s="704"/>
      <c r="P4" s="704"/>
      <c r="Q4" s="704"/>
      <c r="R4" s="704"/>
      <c r="S4" s="704"/>
      <c r="T4" s="704"/>
      <c r="U4" s="704"/>
      <c r="V4" s="704"/>
      <c r="AM4" s="410"/>
      <c r="AN4" s="411"/>
      <c r="AO4" s="56"/>
      <c r="AT4" s="56"/>
    </row>
    <row r="5" spans="1:46">
      <c r="B5" s="702" t="s">
        <v>1</v>
      </c>
      <c r="C5" s="703"/>
      <c r="D5" s="62" t="s">
        <v>5</v>
      </c>
      <c r="E5" s="36">
        <f>S22</f>
        <v>0</v>
      </c>
      <c r="F5" s="36">
        <f>AG22</f>
        <v>0</v>
      </c>
      <c r="G5" s="316">
        <f>ROUND(AJ22,1)</f>
        <v>0</v>
      </c>
      <c r="H5" s="135"/>
    </row>
    <row r="6" spans="1:46">
      <c r="B6" s="702" t="s">
        <v>969</v>
      </c>
      <c r="C6" s="703"/>
      <c r="D6" s="89" t="s">
        <v>24</v>
      </c>
      <c r="E6" s="100">
        <f>T22</f>
        <v>0</v>
      </c>
      <c r="F6" s="100">
        <f>AH22</f>
        <v>0</v>
      </c>
      <c r="G6" s="153">
        <f>ROUND(AK22,1)</f>
        <v>0</v>
      </c>
      <c r="M6" s="705" t="s">
        <v>334</v>
      </c>
      <c r="N6" s="705"/>
      <c r="O6" s="705"/>
      <c r="P6" s="705"/>
      <c r="Q6" s="705"/>
      <c r="R6" s="705"/>
      <c r="S6" s="705"/>
      <c r="T6" s="705"/>
      <c r="U6" s="705"/>
      <c r="V6" s="705"/>
    </row>
    <row r="7" spans="1:46">
      <c r="B7" s="221" t="s">
        <v>916</v>
      </c>
      <c r="M7" s="673" t="s">
        <v>333</v>
      </c>
      <c r="N7" s="673"/>
      <c r="O7" s="89" t="s">
        <v>321</v>
      </c>
      <c r="P7" s="89" t="s">
        <v>14</v>
      </c>
      <c r="Q7" s="687" t="str">
        <f>IF(OR(O8&lt;O9,P8&lt;P9),"やむを得ず増加する場合は特記事項欄に理由を記載してください。(要根拠資料提出)",IF(OR(O8&gt;O9,P8&gt;P9),"減少する理由を特記事項欄に記載してください。","ー"))</f>
        <v>ー</v>
      </c>
      <c r="R7" s="688"/>
      <c r="S7" s="688"/>
      <c r="T7" s="688"/>
      <c r="U7" s="688"/>
      <c r="V7" s="689"/>
    </row>
    <row r="8" spans="1:46">
      <c r="D8" s="15"/>
      <c r="E8" s="56"/>
      <c r="M8" s="676" t="s">
        <v>885</v>
      </c>
      <c r="N8" s="676"/>
      <c r="O8" s="9">
        <f>SUMPRODUCT(($I$23:$I$32=O7)*($I$23:$I$32=O7),$H$23:$H$32*$D$23:$D$32)</f>
        <v>0</v>
      </c>
      <c r="P8" s="9">
        <f>SUMPRODUCT(($I$23:$I$32=P7)*($I$23:$I$32=P7),$H$23:$H$32*$D$23:$D$32)</f>
        <v>0</v>
      </c>
      <c r="Q8" s="706"/>
      <c r="R8" s="707"/>
      <c r="S8" s="707"/>
      <c r="T8" s="707"/>
      <c r="U8" s="707"/>
      <c r="V8" s="708"/>
    </row>
    <row r="9" spans="1:46">
      <c r="D9" s="15"/>
      <c r="E9" s="56"/>
      <c r="M9" s="676" t="s">
        <v>886</v>
      </c>
      <c r="N9" s="676"/>
      <c r="O9" s="9">
        <f>SUMPRODUCT(($Z$23:$Z$32=O7)*($Z$23:$Z$32=O7),$Y$23:$Y$32*$V$23:$V$32)</f>
        <v>0</v>
      </c>
      <c r="P9" s="9">
        <f>SUMPRODUCT(($Z$23:$Z$32=P7)*($Z$23:$Z$32=P7),$Y$23:$Y$32*$V$23:$V$32)</f>
        <v>0</v>
      </c>
      <c r="Q9" s="690"/>
      <c r="R9" s="691"/>
      <c r="S9" s="691"/>
      <c r="T9" s="691"/>
      <c r="U9" s="691"/>
      <c r="V9" s="692"/>
    </row>
    <row r="10" spans="1:46">
      <c r="A10" s="15"/>
      <c r="D10" s="15"/>
    </row>
    <row r="11" spans="1:46" ht="19.5" thickBot="1">
      <c r="A11" s="15"/>
      <c r="D11" s="15"/>
    </row>
    <row r="12" spans="1:46">
      <c r="A12" s="15"/>
      <c r="D12" s="15"/>
      <c r="M12" s="222" t="s">
        <v>826</v>
      </c>
      <c r="N12" s="136"/>
      <c r="O12" s="136"/>
      <c r="P12" s="223"/>
      <c r="Q12" s="223"/>
      <c r="R12" s="223"/>
      <c r="S12" s="223"/>
      <c r="T12" s="142"/>
      <c r="U12" s="744" t="s">
        <v>821</v>
      </c>
      <c r="V12" s="745"/>
      <c r="W12" s="745"/>
      <c r="X12" s="745"/>
      <c r="Y12" s="745"/>
      <c r="Z12" s="745"/>
      <c r="AA12" s="746"/>
    </row>
    <row r="13" spans="1:46">
      <c r="A13" s="15"/>
      <c r="D13" s="15"/>
      <c r="M13" s="320" t="s">
        <v>827</v>
      </c>
      <c r="N13" s="309"/>
      <c r="O13" s="309"/>
      <c r="P13" s="310"/>
      <c r="Q13" s="310"/>
      <c r="R13" s="310"/>
      <c r="S13" s="310"/>
      <c r="T13" s="412"/>
      <c r="U13" s="753" t="s">
        <v>1167</v>
      </c>
      <c r="V13" s="754"/>
      <c r="W13" s="754"/>
      <c r="X13" s="754"/>
      <c r="Y13" s="754"/>
      <c r="Z13" s="754"/>
      <c r="AA13" s="755"/>
    </row>
    <row r="14" spans="1:46" ht="19.5" thickBot="1">
      <c r="A14" s="15"/>
      <c r="D14" s="15"/>
      <c r="M14" s="226" t="s">
        <v>1166</v>
      </c>
      <c r="N14" s="258"/>
      <c r="O14" s="258"/>
      <c r="P14" s="258"/>
      <c r="Q14" s="258"/>
      <c r="R14" s="258"/>
      <c r="S14" s="258"/>
      <c r="T14" s="258"/>
      <c r="U14" s="750" t="s">
        <v>1165</v>
      </c>
      <c r="V14" s="751"/>
      <c r="W14" s="751"/>
      <c r="X14" s="751"/>
      <c r="Y14" s="751"/>
      <c r="Z14" s="751"/>
      <c r="AA14" s="752"/>
    </row>
    <row r="15" spans="1:46">
      <c r="A15" s="15"/>
      <c r="B15" s="31"/>
      <c r="C15" s="15"/>
      <c r="I15" s="219"/>
    </row>
    <row r="16" spans="1:46">
      <c r="A16" s="15"/>
      <c r="B16" s="31"/>
      <c r="C16" s="15"/>
      <c r="I16" s="219"/>
    </row>
    <row r="17" spans="1:48">
      <c r="A17" s="15"/>
      <c r="B17" s="31"/>
      <c r="C17" s="15"/>
      <c r="I17" s="219"/>
    </row>
    <row r="18" spans="1:48">
      <c r="B18" s="229" t="str">
        <f>HYPERLINK("#", "【記入例：B43】ハイパーリンク")</f>
        <v>【記入例：B43】ハイパーリンク</v>
      </c>
    </row>
    <row r="19" spans="1:48">
      <c r="B19" s="666" t="s">
        <v>17</v>
      </c>
      <c r="C19" s="64" t="s">
        <v>19</v>
      </c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138"/>
      <c r="S19" s="138"/>
      <c r="T19" s="66"/>
      <c r="U19" s="64" t="s">
        <v>20</v>
      </c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138"/>
      <c r="AG19" s="65"/>
      <c r="AH19" s="66"/>
      <c r="AI19" s="64" t="s">
        <v>26</v>
      </c>
      <c r="AJ19" s="65"/>
      <c r="AK19" s="66"/>
      <c r="AM19" s="413" t="s">
        <v>19</v>
      </c>
      <c r="AN19" s="414"/>
      <c r="AO19" s="414"/>
      <c r="AP19" s="414"/>
      <c r="AQ19" s="414"/>
      <c r="AR19" s="414"/>
      <c r="AS19" s="415" t="s">
        <v>95</v>
      </c>
      <c r="AT19" s="416"/>
      <c r="AU19" s="416"/>
      <c r="AV19" s="417"/>
    </row>
    <row r="20" spans="1:48" ht="56.25">
      <c r="B20" s="661"/>
      <c r="C20" s="61" t="s">
        <v>833</v>
      </c>
      <c r="D20" s="61" t="s">
        <v>1059</v>
      </c>
      <c r="E20" s="61" t="s">
        <v>343</v>
      </c>
      <c r="F20" s="61" t="s">
        <v>864</v>
      </c>
      <c r="G20" s="38" t="s">
        <v>104</v>
      </c>
      <c r="H20" s="61" t="s">
        <v>320</v>
      </c>
      <c r="I20" s="61" t="s">
        <v>319</v>
      </c>
      <c r="J20" s="61" t="s">
        <v>1170</v>
      </c>
      <c r="K20" s="61" t="s">
        <v>1090</v>
      </c>
      <c r="L20" s="61" t="s">
        <v>111</v>
      </c>
      <c r="M20" s="61" t="s">
        <v>92</v>
      </c>
      <c r="N20" s="61" t="s">
        <v>702</v>
      </c>
      <c r="O20" s="61" t="s">
        <v>33</v>
      </c>
      <c r="P20" s="61" t="s">
        <v>1079</v>
      </c>
      <c r="Q20" s="61" t="s">
        <v>115</v>
      </c>
      <c r="R20" s="61" t="s">
        <v>116</v>
      </c>
      <c r="S20" s="61" t="s">
        <v>1</v>
      </c>
      <c r="T20" s="61" t="s">
        <v>969</v>
      </c>
      <c r="U20" s="61" t="s">
        <v>833</v>
      </c>
      <c r="V20" s="61" t="s">
        <v>1059</v>
      </c>
      <c r="W20" s="61" t="s">
        <v>343</v>
      </c>
      <c r="X20" s="38" t="s">
        <v>104</v>
      </c>
      <c r="Y20" s="61" t="s">
        <v>320</v>
      </c>
      <c r="Z20" s="61" t="s">
        <v>319</v>
      </c>
      <c r="AA20" s="61" t="s">
        <v>1170</v>
      </c>
      <c r="AB20" s="61" t="s">
        <v>1090</v>
      </c>
      <c r="AC20" s="61" t="s">
        <v>111</v>
      </c>
      <c r="AD20" s="61" t="s">
        <v>1079</v>
      </c>
      <c r="AE20" s="61" t="s">
        <v>92</v>
      </c>
      <c r="AF20" s="61" t="s">
        <v>1096</v>
      </c>
      <c r="AG20" s="61" t="s">
        <v>1</v>
      </c>
      <c r="AH20" s="61" t="s">
        <v>969</v>
      </c>
      <c r="AI20" s="61" t="s">
        <v>1087</v>
      </c>
      <c r="AJ20" s="61" t="s">
        <v>1073</v>
      </c>
      <c r="AK20" s="61" t="s">
        <v>915</v>
      </c>
      <c r="AM20" s="418" t="s">
        <v>1089</v>
      </c>
      <c r="AN20" s="419" t="s">
        <v>1095</v>
      </c>
      <c r="AO20" s="420" t="s">
        <v>1021</v>
      </c>
      <c r="AP20" s="420" t="s">
        <v>1022</v>
      </c>
      <c r="AQ20" s="420" t="s">
        <v>1152</v>
      </c>
      <c r="AR20" s="420" t="s">
        <v>1153</v>
      </c>
      <c r="AS20" s="420" t="s">
        <v>1021</v>
      </c>
      <c r="AT20" s="420" t="s">
        <v>1022</v>
      </c>
      <c r="AU20" s="420" t="s">
        <v>1152</v>
      </c>
      <c r="AV20" s="420" t="s">
        <v>1153</v>
      </c>
    </row>
    <row r="21" spans="1:48" ht="18" customHeight="1">
      <c r="B21" s="59" t="s">
        <v>18</v>
      </c>
      <c r="C21" s="85"/>
      <c r="D21" s="89" t="s">
        <v>38</v>
      </c>
      <c r="E21" s="85"/>
      <c r="F21" s="89" t="s">
        <v>814</v>
      </c>
      <c r="G21" s="85"/>
      <c r="H21" s="85"/>
      <c r="I21" s="85"/>
      <c r="J21" s="89" t="s">
        <v>121</v>
      </c>
      <c r="K21" s="89" t="str">
        <f>"/(台・h)"</f>
        <v>/(台・h)</v>
      </c>
      <c r="L21" s="85"/>
      <c r="M21" s="89" t="s">
        <v>121</v>
      </c>
      <c r="N21" s="89" t="s">
        <v>812</v>
      </c>
      <c r="O21" s="89" t="s">
        <v>813</v>
      </c>
      <c r="P21" s="89" t="s">
        <v>1181</v>
      </c>
      <c r="Q21" s="89" t="s">
        <v>1176</v>
      </c>
      <c r="R21" s="89" t="str">
        <f>"/年"</f>
        <v>/年</v>
      </c>
      <c r="S21" s="62" t="s">
        <v>5</v>
      </c>
      <c r="T21" s="89" t="s">
        <v>706</v>
      </c>
      <c r="U21" s="85"/>
      <c r="V21" s="89" t="s">
        <v>38</v>
      </c>
      <c r="W21" s="85"/>
      <c r="X21" s="85"/>
      <c r="Y21" s="85"/>
      <c r="Z21" s="85"/>
      <c r="AA21" s="89" t="s">
        <v>121</v>
      </c>
      <c r="AB21" s="89" t="str">
        <f>"/(台・h)"</f>
        <v>/(台・h)</v>
      </c>
      <c r="AC21" s="85"/>
      <c r="AD21" s="89" t="s">
        <v>1181</v>
      </c>
      <c r="AE21" s="89" t="s">
        <v>121</v>
      </c>
      <c r="AF21" s="89" t="str">
        <f>"/年"</f>
        <v>/年</v>
      </c>
      <c r="AG21" s="62" t="s">
        <v>5</v>
      </c>
      <c r="AH21" s="89" t="s">
        <v>706</v>
      </c>
      <c r="AI21" s="89" t="str">
        <f>"/年"</f>
        <v>/年</v>
      </c>
      <c r="AJ21" s="62" t="s">
        <v>5</v>
      </c>
      <c r="AK21" s="89" t="s">
        <v>706</v>
      </c>
      <c r="AM21" s="421"/>
      <c r="AN21" s="421"/>
      <c r="AO21" s="421"/>
      <c r="AP21" s="422" t="s">
        <v>1099</v>
      </c>
      <c r="AQ21" s="423" t="s">
        <v>1101</v>
      </c>
      <c r="AR21" s="423" t="s">
        <v>1101</v>
      </c>
      <c r="AS21" s="424"/>
      <c r="AT21" s="423" t="s">
        <v>1099</v>
      </c>
      <c r="AU21" s="423" t="s">
        <v>1101</v>
      </c>
      <c r="AV21" s="423" t="s">
        <v>1101</v>
      </c>
    </row>
    <row r="22" spans="1:48">
      <c r="B22" s="71" t="s">
        <v>13</v>
      </c>
      <c r="C22" s="166"/>
      <c r="D22" s="167">
        <f>SUM(D23:D32)</f>
        <v>0</v>
      </c>
      <c r="E22" s="166"/>
      <c r="F22" s="166"/>
      <c r="G22" s="166"/>
      <c r="H22" s="166"/>
      <c r="I22" s="169"/>
      <c r="J22" s="166"/>
      <c r="K22" s="170"/>
      <c r="L22" s="168"/>
      <c r="M22" s="425"/>
      <c r="N22" s="168"/>
      <c r="O22" s="168"/>
      <c r="P22" s="169"/>
      <c r="Q22" s="467">
        <f>SUM(Q23:Q32)</f>
        <v>0</v>
      </c>
      <c r="R22" s="469">
        <f>SUM(R23:R32)</f>
        <v>0</v>
      </c>
      <c r="S22" s="171">
        <f>SUM(S23:S32)</f>
        <v>0</v>
      </c>
      <c r="T22" s="172">
        <f>SUM(T23:T32)</f>
        <v>0</v>
      </c>
      <c r="U22" s="168"/>
      <c r="V22" s="167">
        <f>SUM(V23:V32)</f>
        <v>0</v>
      </c>
      <c r="W22" s="166"/>
      <c r="X22" s="168"/>
      <c r="Y22" s="166"/>
      <c r="Z22" s="169"/>
      <c r="AA22" s="166"/>
      <c r="AB22" s="170"/>
      <c r="AC22" s="168"/>
      <c r="AD22" s="169"/>
      <c r="AE22" s="425"/>
      <c r="AF22" s="470">
        <f t="shared" ref="AF22:AK22" si="0">SUM(AF23:AF32)</f>
        <v>0</v>
      </c>
      <c r="AG22" s="171">
        <f t="shared" si="0"/>
        <v>0</v>
      </c>
      <c r="AH22" s="172">
        <f t="shared" si="0"/>
        <v>0</v>
      </c>
      <c r="AI22" s="470">
        <f t="shared" si="0"/>
        <v>0</v>
      </c>
      <c r="AJ22" s="173">
        <f t="shared" si="0"/>
        <v>0</v>
      </c>
      <c r="AK22" s="174">
        <f t="shared" si="0"/>
        <v>0</v>
      </c>
      <c r="AM22" s="50"/>
      <c r="AN22" s="50"/>
      <c r="AO22" s="50"/>
      <c r="AP22" s="50"/>
      <c r="AQ22" s="108"/>
      <c r="AR22" s="108"/>
      <c r="AS22" s="108"/>
      <c r="AT22" s="255"/>
      <c r="AU22" s="108"/>
      <c r="AV22" s="108"/>
    </row>
    <row r="23" spans="1:48">
      <c r="B23" s="59" t="s">
        <v>122</v>
      </c>
      <c r="C23" s="1"/>
      <c r="D23" s="1"/>
      <c r="E23" s="4"/>
      <c r="F23" s="350"/>
      <c r="G23" s="17"/>
      <c r="H23" s="348"/>
      <c r="I23" s="93"/>
      <c r="J23" s="445"/>
      <c r="K23" s="349"/>
      <c r="L23" s="429" t="str">
        <f>IFERROR(VLOOKUP(G23,係数!$B$3:$I$30,5,FALSE),"")</f>
        <v/>
      </c>
      <c r="M23" s="191"/>
      <c r="N23" s="1"/>
      <c r="O23" s="1"/>
      <c r="P23" s="18">
        <f>N23*O23</f>
        <v>0</v>
      </c>
      <c r="Q23" s="468">
        <f>IF(D23="",0,K23*D23*J23*M23*AR23)</f>
        <v>0</v>
      </c>
      <c r="R23" s="466">
        <f>IF(P23=0,0,IF(E23="給湯器（HP）",K23*D23*P23*M23*AM23,K23*D23*P23*M23/(1-AN23)))</f>
        <v>0</v>
      </c>
      <c r="S23" s="34">
        <f>R23*AP23</f>
        <v>0</v>
      </c>
      <c r="T23" s="105">
        <f>(R23*$AQ23)*0.0000258</f>
        <v>0</v>
      </c>
      <c r="U23" s="1"/>
      <c r="V23" s="1"/>
      <c r="W23" s="4"/>
      <c r="X23" s="17"/>
      <c r="Y23" s="348"/>
      <c r="Z23" s="93"/>
      <c r="AA23" s="445"/>
      <c r="AB23" s="349"/>
      <c r="AC23" s="429" t="str">
        <f>IFERROR(VLOOKUP(X23,係数!$B$3:$J$30,5,FALSE),"")</f>
        <v/>
      </c>
      <c r="AD23" s="18">
        <f>P23</f>
        <v>0</v>
      </c>
      <c r="AE23" s="431">
        <f>IF(OR(V23=""),0,Q23/(AB23*V23*AA23*AV23))</f>
        <v>0</v>
      </c>
      <c r="AF23" s="361">
        <f>AB23*V23*AD23*AE23</f>
        <v>0</v>
      </c>
      <c r="AG23" s="34">
        <f t="shared" ref="AG23:AG32" si="1">AF23*AT23</f>
        <v>0</v>
      </c>
      <c r="AH23" s="105">
        <f t="shared" ref="AH23:AH32" si="2">(AF23*$AU23)*0.0000258</f>
        <v>0</v>
      </c>
      <c r="AI23" s="361">
        <f>IF(G23=X23,R23-AF23,"(燃料転換)")</f>
        <v>0</v>
      </c>
      <c r="AJ23" s="315">
        <f>S23-AG23</f>
        <v>0</v>
      </c>
      <c r="AK23" s="137">
        <f>T23-AH23</f>
        <v>0</v>
      </c>
      <c r="AM23" s="87" t="str">
        <f>IF(E23="給湯器（HP）",IF(F23="",1,MIN(1.5,(2026-F23)*0.02+1)),"ー")</f>
        <v>ー</v>
      </c>
      <c r="AN23" s="87" t="str">
        <f t="shared" ref="AN23:AN32" si="3">IF(OR(E23="",E23="給湯器（HP）"),"ー",0.1)</f>
        <v>ー</v>
      </c>
      <c r="AO23" s="16">
        <f>G23</f>
        <v>0</v>
      </c>
      <c r="AP23" s="432">
        <f>IFERROR(VLOOKUP(AO23,係数!$B$3:$J$30,8,FALSE),0)</f>
        <v>0</v>
      </c>
      <c r="AQ23" s="308">
        <f>IFERROR(VLOOKUP(G23,係数!$B$3:$J$30,2,FALSE),0)</f>
        <v>0</v>
      </c>
      <c r="AR23" s="308">
        <f>IFERROR(VLOOKUP(G23,係数!$B$3:$J$30,3,FALSE),0)</f>
        <v>0</v>
      </c>
      <c r="AS23" s="16">
        <f>X23</f>
        <v>0</v>
      </c>
      <c r="AT23" s="432">
        <f>IFERROR(VLOOKUP(AS23,係数!$B$3:$J$30,8,FALSE),0)</f>
        <v>0</v>
      </c>
      <c r="AU23" s="308">
        <f>IFERROR(VLOOKUP(X23,係数!$B$3:$J$30,2,FALSE),0)</f>
        <v>0</v>
      </c>
      <c r="AV23" s="308">
        <f>IFERROR(VLOOKUP(X23,係数!$B$3:$J$30,3,FALSE),0)</f>
        <v>0</v>
      </c>
    </row>
    <row r="24" spans="1:48">
      <c r="B24" s="59" t="s">
        <v>123</v>
      </c>
      <c r="C24" s="1"/>
      <c r="D24" s="1"/>
      <c r="E24" s="4"/>
      <c r="F24" s="350"/>
      <c r="G24" s="17"/>
      <c r="H24" s="348"/>
      <c r="I24" s="93"/>
      <c r="J24" s="445"/>
      <c r="K24" s="349"/>
      <c r="L24" s="429" t="str">
        <f>IFERROR(VLOOKUP(G24,係数!$B$3:$I$30,5,FALSE),"")</f>
        <v/>
      </c>
      <c r="M24" s="191"/>
      <c r="N24" s="1"/>
      <c r="O24" s="1"/>
      <c r="P24" s="18">
        <f>N24*O24</f>
        <v>0</v>
      </c>
      <c r="Q24" s="468">
        <f t="shared" ref="Q24:Q32" si="4">IF(D24="",0,K24*D24*J24*M24*AR24)</f>
        <v>0</v>
      </c>
      <c r="R24" s="466">
        <f t="shared" ref="R24:R31" si="5">IF(P24=0,0,IF(E24="給湯器（HP）",K24*D24*P24*M24*AM24,K24*D24*P24*M24/(1-AN24)))</f>
        <v>0</v>
      </c>
      <c r="S24" s="34">
        <f t="shared" ref="S24:S32" si="6">R24*AP24</f>
        <v>0</v>
      </c>
      <c r="T24" s="105">
        <f t="shared" ref="T24:T31" si="7">(R24*$AQ24)*0.0000258</f>
        <v>0</v>
      </c>
      <c r="U24" s="1"/>
      <c r="V24" s="1"/>
      <c r="W24" s="4"/>
      <c r="X24" s="17"/>
      <c r="Y24" s="348"/>
      <c r="Z24" s="93"/>
      <c r="AA24" s="445"/>
      <c r="AB24" s="349"/>
      <c r="AC24" s="429" t="str">
        <f>IFERROR(VLOOKUP(X24,係数!$B$3:$J$30,5,FALSE),"")</f>
        <v/>
      </c>
      <c r="AD24" s="18">
        <f t="shared" ref="AD24:AD32" si="8">P24</f>
        <v>0</v>
      </c>
      <c r="AE24" s="431">
        <f t="shared" ref="AE24:AE32" si="9">IF(OR(V24=""),0,Q24/(AB24*V24*AA24*AV24))</f>
        <v>0</v>
      </c>
      <c r="AF24" s="361">
        <f t="shared" ref="AF24:AF32" si="10">AB24*V24*AD24*AE24</f>
        <v>0</v>
      </c>
      <c r="AG24" s="34">
        <f t="shared" si="1"/>
        <v>0</v>
      </c>
      <c r="AH24" s="105">
        <f t="shared" si="2"/>
        <v>0</v>
      </c>
      <c r="AI24" s="361">
        <f t="shared" ref="AI24:AI32" si="11">IF(G24=X24,R24-AF24,"(燃料転換)")</f>
        <v>0</v>
      </c>
      <c r="AJ24" s="315">
        <f t="shared" ref="AJ24:AJ32" si="12">S24-AG24</f>
        <v>0</v>
      </c>
      <c r="AK24" s="137">
        <f t="shared" ref="AK24:AK32" si="13">T24-AH24</f>
        <v>0</v>
      </c>
      <c r="AM24" s="87" t="str">
        <f t="shared" ref="AM24:AM32" si="14">IF(E24="給湯器（HP）",IF(F24="",1,MIN(1.5,(2026-F24)*0.02+1)),"ー")</f>
        <v>ー</v>
      </c>
      <c r="AN24" s="87" t="str">
        <f t="shared" si="3"/>
        <v>ー</v>
      </c>
      <c r="AO24" s="16">
        <f t="shared" ref="AO24:AO32" si="15">G24</f>
        <v>0</v>
      </c>
      <c r="AP24" s="432">
        <f>IFERROR(VLOOKUP(AO24,係数!$B$3:$J$30,8,FALSE),0)</f>
        <v>0</v>
      </c>
      <c r="AQ24" s="308">
        <f>IFERROR(VLOOKUP(G24,係数!$B$3:$J$30,2,FALSE),0)</f>
        <v>0</v>
      </c>
      <c r="AR24" s="308">
        <f>IFERROR(VLOOKUP(G24,係数!$B$3:$J$30,3,FALSE),0)</f>
        <v>0</v>
      </c>
      <c r="AS24" s="16">
        <f t="shared" ref="AS24:AS32" si="16">X24</f>
        <v>0</v>
      </c>
      <c r="AT24" s="432">
        <f>IFERROR(VLOOKUP(AS24,係数!$B$3:$J$30,8,FALSE),0)</f>
        <v>0</v>
      </c>
      <c r="AU24" s="308">
        <f>IFERROR(VLOOKUP(X24,係数!$B$3:$J$30,2,FALSE),0)</f>
        <v>0</v>
      </c>
      <c r="AV24" s="308">
        <f>IFERROR(VLOOKUP(X24,係数!$B$3:$J$30,3,FALSE),0)</f>
        <v>0</v>
      </c>
    </row>
    <row r="25" spans="1:48">
      <c r="B25" s="59" t="s">
        <v>124</v>
      </c>
      <c r="C25" s="1"/>
      <c r="D25" s="1"/>
      <c r="E25" s="4"/>
      <c r="F25" s="350"/>
      <c r="G25" s="17"/>
      <c r="H25" s="348"/>
      <c r="I25" s="93"/>
      <c r="J25" s="445"/>
      <c r="K25" s="349"/>
      <c r="L25" s="429" t="str">
        <f>IFERROR(VLOOKUP(G25,係数!$B$3:$I$30,5,FALSE),"")</f>
        <v/>
      </c>
      <c r="M25" s="191"/>
      <c r="N25" s="1"/>
      <c r="O25" s="1"/>
      <c r="P25" s="18">
        <f>N25*O25</f>
        <v>0</v>
      </c>
      <c r="Q25" s="468">
        <f t="shared" si="4"/>
        <v>0</v>
      </c>
      <c r="R25" s="466">
        <f t="shared" si="5"/>
        <v>0</v>
      </c>
      <c r="S25" s="34">
        <f t="shared" si="6"/>
        <v>0</v>
      </c>
      <c r="T25" s="105">
        <f t="shared" si="7"/>
        <v>0</v>
      </c>
      <c r="U25" s="1"/>
      <c r="V25" s="1"/>
      <c r="W25" s="4"/>
      <c r="X25" s="17"/>
      <c r="Y25" s="348"/>
      <c r="Z25" s="93"/>
      <c r="AA25" s="445"/>
      <c r="AB25" s="349"/>
      <c r="AC25" s="429" t="str">
        <f>IFERROR(VLOOKUP(X25,係数!$B$3:$J$30,5,FALSE),"")</f>
        <v/>
      </c>
      <c r="AD25" s="18">
        <f t="shared" si="8"/>
        <v>0</v>
      </c>
      <c r="AE25" s="431">
        <f t="shared" si="9"/>
        <v>0</v>
      </c>
      <c r="AF25" s="361">
        <f t="shared" si="10"/>
        <v>0</v>
      </c>
      <c r="AG25" s="34">
        <f t="shared" si="1"/>
        <v>0</v>
      </c>
      <c r="AH25" s="105">
        <f t="shared" si="2"/>
        <v>0</v>
      </c>
      <c r="AI25" s="361">
        <f t="shared" si="11"/>
        <v>0</v>
      </c>
      <c r="AJ25" s="315">
        <f t="shared" si="12"/>
        <v>0</v>
      </c>
      <c r="AK25" s="137">
        <f t="shared" si="13"/>
        <v>0</v>
      </c>
      <c r="AM25" s="87" t="str">
        <f t="shared" si="14"/>
        <v>ー</v>
      </c>
      <c r="AN25" s="87" t="str">
        <f t="shared" si="3"/>
        <v>ー</v>
      </c>
      <c r="AO25" s="16">
        <f t="shared" si="15"/>
        <v>0</v>
      </c>
      <c r="AP25" s="432">
        <f>IFERROR(VLOOKUP(AO25,係数!$B$3:$J$30,8,FALSE),0)</f>
        <v>0</v>
      </c>
      <c r="AQ25" s="308">
        <f>IFERROR(VLOOKUP(G25,係数!$B$3:$J$30,2,FALSE),0)</f>
        <v>0</v>
      </c>
      <c r="AR25" s="308">
        <f>IFERROR(VLOOKUP(G25,係数!$B$3:$J$30,3,FALSE),0)</f>
        <v>0</v>
      </c>
      <c r="AS25" s="16">
        <f t="shared" si="16"/>
        <v>0</v>
      </c>
      <c r="AT25" s="432">
        <f>IFERROR(VLOOKUP(AS25,係数!$B$3:$J$30,8,FALSE),0)</f>
        <v>0</v>
      </c>
      <c r="AU25" s="308">
        <f>IFERROR(VLOOKUP(X25,係数!$B$3:$J$30,2,FALSE),0)</f>
        <v>0</v>
      </c>
      <c r="AV25" s="308">
        <f>IFERROR(VLOOKUP(X25,係数!$B$3:$J$30,3,FALSE),0)</f>
        <v>0</v>
      </c>
    </row>
    <row r="26" spans="1:48">
      <c r="B26" s="59" t="s">
        <v>125</v>
      </c>
      <c r="C26" s="1"/>
      <c r="D26" s="1"/>
      <c r="E26" s="4"/>
      <c r="F26" s="350"/>
      <c r="G26" s="17"/>
      <c r="H26" s="348"/>
      <c r="I26" s="93"/>
      <c r="J26" s="445"/>
      <c r="K26" s="349"/>
      <c r="L26" s="429" t="str">
        <f>IFERROR(VLOOKUP(G26,係数!$B$3:$I$30,5,FALSE),"")</f>
        <v/>
      </c>
      <c r="M26" s="191"/>
      <c r="N26" s="1"/>
      <c r="O26" s="1"/>
      <c r="P26" s="18">
        <f t="shared" ref="P26:P32" si="17">N26*O26</f>
        <v>0</v>
      </c>
      <c r="Q26" s="468">
        <f t="shared" si="4"/>
        <v>0</v>
      </c>
      <c r="R26" s="466">
        <f t="shared" si="5"/>
        <v>0</v>
      </c>
      <c r="S26" s="34">
        <f t="shared" si="6"/>
        <v>0</v>
      </c>
      <c r="T26" s="105">
        <f t="shared" si="7"/>
        <v>0</v>
      </c>
      <c r="U26" s="1"/>
      <c r="V26" s="1"/>
      <c r="W26" s="4"/>
      <c r="X26" s="17"/>
      <c r="Y26" s="348"/>
      <c r="Z26" s="93"/>
      <c r="AA26" s="445"/>
      <c r="AB26" s="349"/>
      <c r="AC26" s="429" t="str">
        <f>IFERROR(VLOOKUP(X26,係数!$B$3:$J$30,5,FALSE),"")</f>
        <v/>
      </c>
      <c r="AD26" s="18">
        <f t="shared" si="8"/>
        <v>0</v>
      </c>
      <c r="AE26" s="431">
        <f t="shared" si="9"/>
        <v>0</v>
      </c>
      <c r="AF26" s="361">
        <f t="shared" si="10"/>
        <v>0</v>
      </c>
      <c r="AG26" s="34">
        <f t="shared" si="1"/>
        <v>0</v>
      </c>
      <c r="AH26" s="105">
        <f t="shared" si="2"/>
        <v>0</v>
      </c>
      <c r="AI26" s="361">
        <f t="shared" si="11"/>
        <v>0</v>
      </c>
      <c r="AJ26" s="315">
        <f t="shared" si="12"/>
        <v>0</v>
      </c>
      <c r="AK26" s="137">
        <f t="shared" si="13"/>
        <v>0</v>
      </c>
      <c r="AM26" s="87" t="str">
        <f t="shared" si="14"/>
        <v>ー</v>
      </c>
      <c r="AN26" s="87" t="str">
        <f t="shared" si="3"/>
        <v>ー</v>
      </c>
      <c r="AO26" s="16">
        <f t="shared" si="15"/>
        <v>0</v>
      </c>
      <c r="AP26" s="432">
        <f>IFERROR(VLOOKUP(AO26,係数!$B$3:$J$30,8,FALSE),0)</f>
        <v>0</v>
      </c>
      <c r="AQ26" s="308">
        <f>IFERROR(VLOOKUP(G26,係数!$B$3:$J$30,2,FALSE),0)</f>
        <v>0</v>
      </c>
      <c r="AR26" s="308">
        <f>IFERROR(VLOOKUP(G26,係数!$B$3:$J$30,3,FALSE),0)</f>
        <v>0</v>
      </c>
      <c r="AS26" s="16">
        <f t="shared" si="16"/>
        <v>0</v>
      </c>
      <c r="AT26" s="432">
        <f>IFERROR(VLOOKUP(AS26,係数!$B$3:$J$30,8,FALSE),0)</f>
        <v>0</v>
      </c>
      <c r="AU26" s="308">
        <f>IFERROR(VLOOKUP(X26,係数!$B$3:$J$30,2,FALSE),0)</f>
        <v>0</v>
      </c>
      <c r="AV26" s="308">
        <f>IFERROR(VLOOKUP(X26,係数!$B$3:$J$30,3,FALSE),0)</f>
        <v>0</v>
      </c>
    </row>
    <row r="27" spans="1:48">
      <c r="B27" s="59" t="s">
        <v>126</v>
      </c>
      <c r="C27" s="1"/>
      <c r="D27" s="1"/>
      <c r="E27" s="4"/>
      <c r="F27" s="350"/>
      <c r="G27" s="17"/>
      <c r="H27" s="348"/>
      <c r="I27" s="93"/>
      <c r="J27" s="445"/>
      <c r="K27" s="349"/>
      <c r="L27" s="429" t="str">
        <f>IFERROR(VLOOKUP(G27,係数!$B$3:$I$30,5,FALSE),"")</f>
        <v/>
      </c>
      <c r="M27" s="191"/>
      <c r="N27" s="1"/>
      <c r="O27" s="1"/>
      <c r="P27" s="18">
        <f t="shared" si="17"/>
        <v>0</v>
      </c>
      <c r="Q27" s="468">
        <f t="shared" si="4"/>
        <v>0</v>
      </c>
      <c r="R27" s="466">
        <f t="shared" si="5"/>
        <v>0</v>
      </c>
      <c r="S27" s="34">
        <f t="shared" si="6"/>
        <v>0</v>
      </c>
      <c r="T27" s="105">
        <f t="shared" si="7"/>
        <v>0</v>
      </c>
      <c r="U27" s="1"/>
      <c r="V27" s="1"/>
      <c r="W27" s="4"/>
      <c r="X27" s="17"/>
      <c r="Y27" s="348"/>
      <c r="Z27" s="93"/>
      <c r="AA27" s="445"/>
      <c r="AB27" s="349"/>
      <c r="AC27" s="429" t="str">
        <f>IFERROR(VLOOKUP(X27,係数!$B$3:$J$30,5,FALSE),"")</f>
        <v/>
      </c>
      <c r="AD27" s="18">
        <f t="shared" si="8"/>
        <v>0</v>
      </c>
      <c r="AE27" s="431">
        <f t="shared" si="9"/>
        <v>0</v>
      </c>
      <c r="AF27" s="361">
        <f t="shared" si="10"/>
        <v>0</v>
      </c>
      <c r="AG27" s="34">
        <f t="shared" si="1"/>
        <v>0</v>
      </c>
      <c r="AH27" s="105">
        <f t="shared" si="2"/>
        <v>0</v>
      </c>
      <c r="AI27" s="361">
        <f t="shared" si="11"/>
        <v>0</v>
      </c>
      <c r="AJ27" s="315">
        <f>S27-AG27</f>
        <v>0</v>
      </c>
      <c r="AK27" s="137">
        <f t="shared" si="13"/>
        <v>0</v>
      </c>
      <c r="AM27" s="87" t="str">
        <f t="shared" si="14"/>
        <v>ー</v>
      </c>
      <c r="AN27" s="87" t="str">
        <f t="shared" si="3"/>
        <v>ー</v>
      </c>
      <c r="AO27" s="16">
        <f t="shared" si="15"/>
        <v>0</v>
      </c>
      <c r="AP27" s="432">
        <f>IFERROR(VLOOKUP(AO27,係数!$B$3:$J$30,8,FALSE),0)</f>
        <v>0</v>
      </c>
      <c r="AQ27" s="308">
        <f>IFERROR(VLOOKUP(G27,係数!$B$3:$J$30,2,FALSE),0)</f>
        <v>0</v>
      </c>
      <c r="AR27" s="308">
        <f>IFERROR(VLOOKUP(G27,係数!$B$3:$J$30,3,FALSE),0)</f>
        <v>0</v>
      </c>
      <c r="AS27" s="16">
        <f t="shared" si="16"/>
        <v>0</v>
      </c>
      <c r="AT27" s="432">
        <f>IFERROR(VLOOKUP(AS27,係数!$B$3:$J$30,8,FALSE),0)</f>
        <v>0</v>
      </c>
      <c r="AU27" s="308">
        <f>IFERROR(VLOOKUP(X27,係数!$B$3:$J$30,2,FALSE),0)</f>
        <v>0</v>
      </c>
      <c r="AV27" s="308">
        <f>IFERROR(VLOOKUP(X27,係数!$B$3:$J$30,3,FALSE),0)</f>
        <v>0</v>
      </c>
    </row>
    <row r="28" spans="1:48">
      <c r="B28" s="59" t="s">
        <v>127</v>
      </c>
      <c r="C28" s="1"/>
      <c r="D28" s="1"/>
      <c r="E28" s="4"/>
      <c r="F28" s="350"/>
      <c r="G28" s="17"/>
      <c r="H28" s="348"/>
      <c r="I28" s="93"/>
      <c r="J28" s="445"/>
      <c r="K28" s="349"/>
      <c r="L28" s="429" t="str">
        <f>IFERROR(VLOOKUP(G28,係数!$B$3:$I$30,5,FALSE),"")</f>
        <v/>
      </c>
      <c r="M28" s="191"/>
      <c r="N28" s="1"/>
      <c r="O28" s="1"/>
      <c r="P28" s="18">
        <f t="shared" si="17"/>
        <v>0</v>
      </c>
      <c r="Q28" s="468">
        <f t="shared" si="4"/>
        <v>0</v>
      </c>
      <c r="R28" s="466">
        <f t="shared" si="5"/>
        <v>0</v>
      </c>
      <c r="S28" s="34">
        <f t="shared" si="6"/>
        <v>0</v>
      </c>
      <c r="T28" s="105">
        <f t="shared" si="7"/>
        <v>0</v>
      </c>
      <c r="U28" s="1"/>
      <c r="V28" s="1"/>
      <c r="W28" s="4"/>
      <c r="X28" s="17"/>
      <c r="Y28" s="348"/>
      <c r="Z28" s="93"/>
      <c r="AA28" s="445"/>
      <c r="AB28" s="349"/>
      <c r="AC28" s="429" t="str">
        <f>IFERROR(VLOOKUP(X28,係数!$B$3:$J$30,5,FALSE),"")</f>
        <v/>
      </c>
      <c r="AD28" s="18">
        <f t="shared" si="8"/>
        <v>0</v>
      </c>
      <c r="AE28" s="431">
        <f t="shared" si="9"/>
        <v>0</v>
      </c>
      <c r="AF28" s="361">
        <f t="shared" si="10"/>
        <v>0</v>
      </c>
      <c r="AG28" s="34">
        <f t="shared" si="1"/>
        <v>0</v>
      </c>
      <c r="AH28" s="105">
        <f t="shared" si="2"/>
        <v>0</v>
      </c>
      <c r="AI28" s="361">
        <f t="shared" si="11"/>
        <v>0</v>
      </c>
      <c r="AJ28" s="315">
        <f t="shared" si="12"/>
        <v>0</v>
      </c>
      <c r="AK28" s="137">
        <f t="shared" si="13"/>
        <v>0</v>
      </c>
      <c r="AM28" s="87" t="str">
        <f t="shared" si="14"/>
        <v>ー</v>
      </c>
      <c r="AN28" s="87" t="str">
        <f t="shared" si="3"/>
        <v>ー</v>
      </c>
      <c r="AO28" s="16">
        <f t="shared" si="15"/>
        <v>0</v>
      </c>
      <c r="AP28" s="432">
        <f>IFERROR(VLOOKUP(AO28,係数!$B$3:$J$30,8,FALSE),0)</f>
        <v>0</v>
      </c>
      <c r="AQ28" s="308">
        <f>IFERROR(VLOOKUP(G28,係数!$B$3:$J$30,2,FALSE),0)</f>
        <v>0</v>
      </c>
      <c r="AR28" s="308">
        <f>IFERROR(VLOOKUP(G28,係数!$B$3:$J$30,3,FALSE),0)</f>
        <v>0</v>
      </c>
      <c r="AS28" s="16">
        <f t="shared" si="16"/>
        <v>0</v>
      </c>
      <c r="AT28" s="432">
        <f>IFERROR(VLOOKUP(AS28,係数!$B$3:$J$30,8,FALSE),0)</f>
        <v>0</v>
      </c>
      <c r="AU28" s="308">
        <f>IFERROR(VLOOKUP(X28,係数!$B$3:$J$30,2,FALSE),0)</f>
        <v>0</v>
      </c>
      <c r="AV28" s="308">
        <f>IFERROR(VLOOKUP(X28,係数!$B$3:$J$30,3,FALSE),0)</f>
        <v>0</v>
      </c>
    </row>
    <row r="29" spans="1:48">
      <c r="B29" s="59" t="s">
        <v>128</v>
      </c>
      <c r="C29" s="1"/>
      <c r="D29" s="1"/>
      <c r="E29" s="4"/>
      <c r="F29" s="350"/>
      <c r="G29" s="17"/>
      <c r="H29" s="348"/>
      <c r="I29" s="93"/>
      <c r="J29" s="445"/>
      <c r="K29" s="349"/>
      <c r="L29" s="429" t="str">
        <f>IFERROR(VLOOKUP(G29,係数!$B$3:$I$30,5,FALSE),"")</f>
        <v/>
      </c>
      <c r="M29" s="191"/>
      <c r="N29" s="1"/>
      <c r="O29" s="1"/>
      <c r="P29" s="18">
        <f t="shared" si="17"/>
        <v>0</v>
      </c>
      <c r="Q29" s="468">
        <f t="shared" si="4"/>
        <v>0</v>
      </c>
      <c r="R29" s="466">
        <f t="shared" si="5"/>
        <v>0</v>
      </c>
      <c r="S29" s="34">
        <f t="shared" si="6"/>
        <v>0</v>
      </c>
      <c r="T29" s="105">
        <f t="shared" si="7"/>
        <v>0</v>
      </c>
      <c r="U29" s="1"/>
      <c r="V29" s="1"/>
      <c r="W29" s="4"/>
      <c r="X29" s="17"/>
      <c r="Y29" s="348"/>
      <c r="Z29" s="93"/>
      <c r="AA29" s="445"/>
      <c r="AB29" s="349"/>
      <c r="AC29" s="429" t="str">
        <f>IFERROR(VLOOKUP(X29,係数!$B$3:$J$30,5,FALSE),"")</f>
        <v/>
      </c>
      <c r="AD29" s="18">
        <f t="shared" si="8"/>
        <v>0</v>
      </c>
      <c r="AE29" s="431">
        <f t="shared" si="9"/>
        <v>0</v>
      </c>
      <c r="AF29" s="361">
        <f t="shared" si="10"/>
        <v>0</v>
      </c>
      <c r="AG29" s="34">
        <f t="shared" si="1"/>
        <v>0</v>
      </c>
      <c r="AH29" s="105">
        <f t="shared" si="2"/>
        <v>0</v>
      </c>
      <c r="AI29" s="361">
        <f t="shared" si="11"/>
        <v>0</v>
      </c>
      <c r="AJ29" s="315">
        <f t="shared" si="12"/>
        <v>0</v>
      </c>
      <c r="AK29" s="137">
        <f t="shared" si="13"/>
        <v>0</v>
      </c>
      <c r="AM29" s="87" t="str">
        <f t="shared" si="14"/>
        <v>ー</v>
      </c>
      <c r="AN29" s="87" t="str">
        <f t="shared" si="3"/>
        <v>ー</v>
      </c>
      <c r="AO29" s="16">
        <f t="shared" si="15"/>
        <v>0</v>
      </c>
      <c r="AP29" s="432">
        <f>IFERROR(VLOOKUP(AO29,係数!$B$3:$J$30,8,FALSE),0)</f>
        <v>0</v>
      </c>
      <c r="AQ29" s="308">
        <f>IFERROR(VLOOKUP(G29,係数!$B$3:$J$30,2,FALSE),0)</f>
        <v>0</v>
      </c>
      <c r="AR29" s="308">
        <f>IFERROR(VLOOKUP(G29,係数!$B$3:$J$30,3,FALSE),0)</f>
        <v>0</v>
      </c>
      <c r="AS29" s="16">
        <f t="shared" si="16"/>
        <v>0</v>
      </c>
      <c r="AT29" s="432">
        <f>IFERROR(VLOOKUP(AS29,係数!$B$3:$J$30,8,FALSE),0)</f>
        <v>0</v>
      </c>
      <c r="AU29" s="308">
        <f>IFERROR(VLOOKUP(X29,係数!$B$3:$J$30,2,FALSE),0)</f>
        <v>0</v>
      </c>
      <c r="AV29" s="308">
        <f>IFERROR(VLOOKUP(X29,係数!$B$3:$J$30,3,FALSE),0)</f>
        <v>0</v>
      </c>
    </row>
    <row r="30" spans="1:48">
      <c r="B30" s="59" t="s">
        <v>129</v>
      </c>
      <c r="C30" s="1"/>
      <c r="D30" s="1"/>
      <c r="E30" s="4"/>
      <c r="F30" s="350"/>
      <c r="G30" s="17"/>
      <c r="H30" s="348"/>
      <c r="I30" s="93"/>
      <c r="J30" s="445"/>
      <c r="K30" s="349"/>
      <c r="L30" s="429" t="str">
        <f>IFERROR(VLOOKUP(G30,係数!$B$3:$I$30,5,FALSE),"")</f>
        <v/>
      </c>
      <c r="M30" s="191"/>
      <c r="N30" s="1"/>
      <c r="O30" s="1"/>
      <c r="P30" s="18">
        <f t="shared" si="17"/>
        <v>0</v>
      </c>
      <c r="Q30" s="468">
        <f t="shared" si="4"/>
        <v>0</v>
      </c>
      <c r="R30" s="466">
        <f t="shared" si="5"/>
        <v>0</v>
      </c>
      <c r="S30" s="34">
        <f t="shared" si="6"/>
        <v>0</v>
      </c>
      <c r="T30" s="105">
        <f t="shared" si="7"/>
        <v>0</v>
      </c>
      <c r="U30" s="1"/>
      <c r="V30" s="1"/>
      <c r="W30" s="4"/>
      <c r="X30" s="17"/>
      <c r="Y30" s="348"/>
      <c r="Z30" s="93"/>
      <c r="AA30" s="445"/>
      <c r="AB30" s="349"/>
      <c r="AC30" s="429" t="str">
        <f>IFERROR(VLOOKUP(X30,係数!$B$3:$J$30,5,FALSE),"")</f>
        <v/>
      </c>
      <c r="AD30" s="18">
        <f t="shared" si="8"/>
        <v>0</v>
      </c>
      <c r="AE30" s="431">
        <f t="shared" si="9"/>
        <v>0</v>
      </c>
      <c r="AF30" s="361">
        <f t="shared" si="10"/>
        <v>0</v>
      </c>
      <c r="AG30" s="34">
        <f t="shared" si="1"/>
        <v>0</v>
      </c>
      <c r="AH30" s="105">
        <f t="shared" si="2"/>
        <v>0</v>
      </c>
      <c r="AI30" s="361">
        <f t="shared" si="11"/>
        <v>0</v>
      </c>
      <c r="AJ30" s="315">
        <f t="shared" si="12"/>
        <v>0</v>
      </c>
      <c r="AK30" s="137">
        <f t="shared" si="13"/>
        <v>0</v>
      </c>
      <c r="AM30" s="87" t="str">
        <f t="shared" si="14"/>
        <v>ー</v>
      </c>
      <c r="AN30" s="87" t="str">
        <f t="shared" si="3"/>
        <v>ー</v>
      </c>
      <c r="AO30" s="16">
        <f t="shared" si="15"/>
        <v>0</v>
      </c>
      <c r="AP30" s="432">
        <f>IFERROR(VLOOKUP(AO30,係数!$B$3:$J$30,8,FALSE),0)</f>
        <v>0</v>
      </c>
      <c r="AQ30" s="308">
        <f>IFERROR(VLOOKUP(G30,係数!$B$3:$J$30,2,FALSE),0)</f>
        <v>0</v>
      </c>
      <c r="AR30" s="308">
        <f>IFERROR(VLOOKUP(G30,係数!$B$3:$J$30,3,FALSE),0)</f>
        <v>0</v>
      </c>
      <c r="AS30" s="16">
        <f t="shared" si="16"/>
        <v>0</v>
      </c>
      <c r="AT30" s="432">
        <f>IFERROR(VLOOKUP(AS30,係数!$B$3:$J$30,8,FALSE),0)</f>
        <v>0</v>
      </c>
      <c r="AU30" s="308">
        <f>IFERROR(VLOOKUP(X30,係数!$B$3:$J$30,2,FALSE),0)</f>
        <v>0</v>
      </c>
      <c r="AV30" s="308">
        <f>IFERROR(VLOOKUP(X30,係数!$B$3:$J$30,3,FALSE),0)</f>
        <v>0</v>
      </c>
    </row>
    <row r="31" spans="1:48">
      <c r="B31" s="59" t="s">
        <v>130</v>
      </c>
      <c r="C31" s="1"/>
      <c r="D31" s="1"/>
      <c r="E31" s="4"/>
      <c r="F31" s="350"/>
      <c r="G31" s="17"/>
      <c r="H31" s="348"/>
      <c r="I31" s="93"/>
      <c r="J31" s="445"/>
      <c r="K31" s="349"/>
      <c r="L31" s="429" t="str">
        <f>IFERROR(VLOOKUP(G31,係数!$B$3:$I$30,5,FALSE),"")</f>
        <v/>
      </c>
      <c r="M31" s="191"/>
      <c r="N31" s="1"/>
      <c r="O31" s="1"/>
      <c r="P31" s="18">
        <f t="shared" si="17"/>
        <v>0</v>
      </c>
      <c r="Q31" s="468">
        <f t="shared" si="4"/>
        <v>0</v>
      </c>
      <c r="R31" s="466">
        <f t="shared" si="5"/>
        <v>0</v>
      </c>
      <c r="S31" s="34">
        <f t="shared" si="6"/>
        <v>0</v>
      </c>
      <c r="T31" s="105">
        <f t="shared" si="7"/>
        <v>0</v>
      </c>
      <c r="U31" s="1"/>
      <c r="V31" s="1"/>
      <c r="W31" s="4"/>
      <c r="X31" s="17"/>
      <c r="Y31" s="348"/>
      <c r="Z31" s="93"/>
      <c r="AA31" s="445"/>
      <c r="AB31" s="349"/>
      <c r="AC31" s="429" t="str">
        <f>IFERROR(VLOOKUP(X31,係数!$B$3:$J$30,5,FALSE),"")</f>
        <v/>
      </c>
      <c r="AD31" s="18">
        <f t="shared" si="8"/>
        <v>0</v>
      </c>
      <c r="AE31" s="431">
        <f t="shared" si="9"/>
        <v>0</v>
      </c>
      <c r="AF31" s="361">
        <f t="shared" si="10"/>
        <v>0</v>
      </c>
      <c r="AG31" s="34">
        <f t="shared" si="1"/>
        <v>0</v>
      </c>
      <c r="AH31" s="105">
        <f t="shared" si="2"/>
        <v>0</v>
      </c>
      <c r="AI31" s="361">
        <f t="shared" si="11"/>
        <v>0</v>
      </c>
      <c r="AJ31" s="315">
        <f t="shared" si="12"/>
        <v>0</v>
      </c>
      <c r="AK31" s="137">
        <f t="shared" si="13"/>
        <v>0</v>
      </c>
      <c r="AM31" s="87" t="str">
        <f t="shared" si="14"/>
        <v>ー</v>
      </c>
      <c r="AN31" s="87" t="str">
        <f t="shared" si="3"/>
        <v>ー</v>
      </c>
      <c r="AO31" s="16">
        <f t="shared" si="15"/>
        <v>0</v>
      </c>
      <c r="AP31" s="432">
        <f>IFERROR(VLOOKUP(AO31,係数!$B$3:$J$30,8,FALSE),0)</f>
        <v>0</v>
      </c>
      <c r="AQ31" s="308">
        <f>IFERROR(VLOOKUP(G31,係数!$B$3:$J$30,2,FALSE),0)</f>
        <v>0</v>
      </c>
      <c r="AR31" s="308">
        <f>IFERROR(VLOOKUP(G31,係数!$B$3:$J$30,3,FALSE),0)</f>
        <v>0</v>
      </c>
      <c r="AS31" s="16">
        <f t="shared" si="16"/>
        <v>0</v>
      </c>
      <c r="AT31" s="432">
        <f>IFERROR(VLOOKUP(AS31,係数!$B$3:$J$30,8,FALSE),0)</f>
        <v>0</v>
      </c>
      <c r="AU31" s="308">
        <f>IFERROR(VLOOKUP(X31,係数!$B$3:$J$30,2,FALSE),0)</f>
        <v>0</v>
      </c>
      <c r="AV31" s="308">
        <f>IFERROR(VLOOKUP(X31,係数!$B$3:$J$30,3,FALSE),0)</f>
        <v>0</v>
      </c>
    </row>
    <row r="32" spans="1:48">
      <c r="B32" s="59" t="s">
        <v>131</v>
      </c>
      <c r="C32" s="1"/>
      <c r="D32" s="1"/>
      <c r="E32" s="4"/>
      <c r="F32" s="350"/>
      <c r="G32" s="17"/>
      <c r="H32" s="348"/>
      <c r="I32" s="93"/>
      <c r="J32" s="445"/>
      <c r="K32" s="349"/>
      <c r="L32" s="429" t="str">
        <f>IFERROR(VLOOKUP(G32,係数!$B$3:$I$30,5,FALSE),"")</f>
        <v/>
      </c>
      <c r="M32" s="191"/>
      <c r="N32" s="1"/>
      <c r="O32" s="1"/>
      <c r="P32" s="18">
        <f t="shared" si="17"/>
        <v>0</v>
      </c>
      <c r="Q32" s="468">
        <f t="shared" si="4"/>
        <v>0</v>
      </c>
      <c r="R32" s="466">
        <f>IF(P32=0,0,IF(E32="給湯器（HP）",K32*D32*P32*M32*AM32,K32*D32*P32*M32/(1-AN32)))</f>
        <v>0</v>
      </c>
      <c r="S32" s="34">
        <f t="shared" si="6"/>
        <v>0</v>
      </c>
      <c r="T32" s="105">
        <f>(R32*$AQ32)*0.0000258</f>
        <v>0</v>
      </c>
      <c r="U32" s="1"/>
      <c r="V32" s="1"/>
      <c r="W32" s="4"/>
      <c r="X32" s="17"/>
      <c r="Y32" s="348"/>
      <c r="Z32" s="93"/>
      <c r="AA32" s="445"/>
      <c r="AB32" s="349"/>
      <c r="AC32" s="429" t="str">
        <f>IFERROR(VLOOKUP(X32,係数!$B$3:$J$30,5,FALSE),"")</f>
        <v/>
      </c>
      <c r="AD32" s="18">
        <f t="shared" si="8"/>
        <v>0</v>
      </c>
      <c r="AE32" s="431">
        <f t="shared" si="9"/>
        <v>0</v>
      </c>
      <c r="AF32" s="361">
        <f t="shared" si="10"/>
        <v>0</v>
      </c>
      <c r="AG32" s="34">
        <f t="shared" si="1"/>
        <v>0</v>
      </c>
      <c r="AH32" s="105">
        <f t="shared" si="2"/>
        <v>0</v>
      </c>
      <c r="AI32" s="361">
        <f t="shared" si="11"/>
        <v>0</v>
      </c>
      <c r="AJ32" s="315">
        <f t="shared" si="12"/>
        <v>0</v>
      </c>
      <c r="AK32" s="137">
        <f t="shared" si="13"/>
        <v>0</v>
      </c>
      <c r="AM32" s="87" t="str">
        <f t="shared" si="14"/>
        <v>ー</v>
      </c>
      <c r="AN32" s="87" t="str">
        <f t="shared" si="3"/>
        <v>ー</v>
      </c>
      <c r="AO32" s="16">
        <f t="shared" si="15"/>
        <v>0</v>
      </c>
      <c r="AP32" s="432">
        <f>IFERROR(VLOOKUP(AO32,係数!$B$3:$J$30,8,FALSE),0)</f>
        <v>0</v>
      </c>
      <c r="AQ32" s="308">
        <f>IFERROR(VLOOKUP(G32,係数!$B$3:$J$30,2,FALSE),0)</f>
        <v>0</v>
      </c>
      <c r="AR32" s="308">
        <f>IFERROR(VLOOKUP(G32,係数!$B$3:$J$30,3,FALSE),0)</f>
        <v>0</v>
      </c>
      <c r="AS32" s="16">
        <f t="shared" si="16"/>
        <v>0</v>
      </c>
      <c r="AT32" s="432">
        <f>IFERROR(VLOOKUP(AS32,係数!$B$3:$J$30,8,FALSE),0)</f>
        <v>0</v>
      </c>
      <c r="AU32" s="308">
        <f>IFERROR(VLOOKUP(X32,係数!$B$3:$J$30,2,FALSE),0)</f>
        <v>0</v>
      </c>
      <c r="AV32" s="308">
        <f>IFERROR(VLOOKUP(X32,係数!$B$3:$J$30,3,FALSE),0)</f>
        <v>0</v>
      </c>
    </row>
    <row r="34" spans="1:48" ht="30">
      <c r="A34" s="11" t="s">
        <v>879</v>
      </c>
    </row>
    <row r="42" spans="1:48">
      <c r="B42" s="254" t="str">
        <f>HYPERLINK("#", "【シートトップ】ハイパーリンク")</f>
        <v>【シートトップ】ハイパーリンク</v>
      </c>
    </row>
    <row r="43" spans="1:48">
      <c r="B43" s="666" t="s">
        <v>17</v>
      </c>
      <c r="C43" s="64" t="s">
        <v>19</v>
      </c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138"/>
      <c r="R43" s="138"/>
      <c r="S43" s="128"/>
      <c r="T43" s="132"/>
      <c r="U43" s="131" t="s">
        <v>20</v>
      </c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66"/>
      <c r="AI43" s="64" t="s">
        <v>26</v>
      </c>
      <c r="AJ43" s="65"/>
      <c r="AK43" s="66"/>
      <c r="AM43" s="413" t="s">
        <v>19</v>
      </c>
      <c r="AN43" s="414"/>
      <c r="AO43" s="414"/>
      <c r="AP43" s="414"/>
      <c r="AQ43" s="414"/>
      <c r="AR43" s="414"/>
      <c r="AS43" s="415" t="s">
        <v>95</v>
      </c>
      <c r="AT43" s="416"/>
      <c r="AU43" s="416"/>
      <c r="AV43" s="417"/>
    </row>
    <row r="44" spans="1:48" ht="56.25">
      <c r="B44" s="661"/>
      <c r="C44" s="61" t="s">
        <v>833</v>
      </c>
      <c r="D44" s="61" t="s">
        <v>1059</v>
      </c>
      <c r="E44" s="61" t="s">
        <v>343</v>
      </c>
      <c r="F44" s="61" t="s">
        <v>864</v>
      </c>
      <c r="G44" s="38" t="s">
        <v>104</v>
      </c>
      <c r="H44" s="61" t="s">
        <v>320</v>
      </c>
      <c r="I44" s="61" t="s">
        <v>319</v>
      </c>
      <c r="J44" s="61" t="s">
        <v>1170</v>
      </c>
      <c r="K44" s="61" t="s">
        <v>1090</v>
      </c>
      <c r="L44" s="61" t="s">
        <v>111</v>
      </c>
      <c r="M44" s="61" t="s">
        <v>92</v>
      </c>
      <c r="N44" s="61" t="s">
        <v>702</v>
      </c>
      <c r="O44" s="61" t="s">
        <v>33</v>
      </c>
      <c r="P44" s="61" t="s">
        <v>1079</v>
      </c>
      <c r="Q44" s="61" t="s">
        <v>115</v>
      </c>
      <c r="R44" s="61" t="s">
        <v>116</v>
      </c>
      <c r="S44" s="61" t="s">
        <v>1</v>
      </c>
      <c r="T44" s="61" t="s">
        <v>968</v>
      </c>
      <c r="U44" s="61" t="s">
        <v>833</v>
      </c>
      <c r="V44" s="61" t="s">
        <v>1059</v>
      </c>
      <c r="W44" s="61" t="s">
        <v>343</v>
      </c>
      <c r="X44" s="38" t="s">
        <v>104</v>
      </c>
      <c r="Y44" s="61" t="s">
        <v>320</v>
      </c>
      <c r="Z44" s="61" t="s">
        <v>319</v>
      </c>
      <c r="AA44" s="61" t="s">
        <v>1170</v>
      </c>
      <c r="AB44" s="61" t="s">
        <v>1090</v>
      </c>
      <c r="AC44" s="61" t="s">
        <v>111</v>
      </c>
      <c r="AD44" s="61" t="s">
        <v>1079</v>
      </c>
      <c r="AE44" s="61" t="s">
        <v>92</v>
      </c>
      <c r="AF44" s="61" t="s">
        <v>1096</v>
      </c>
      <c r="AG44" s="61" t="s">
        <v>1</v>
      </c>
      <c r="AH44" s="61" t="s">
        <v>968</v>
      </c>
      <c r="AI44" s="61" t="s">
        <v>1087</v>
      </c>
      <c r="AJ44" s="61" t="s">
        <v>1073</v>
      </c>
      <c r="AK44" s="61" t="s">
        <v>919</v>
      </c>
      <c r="AM44" s="418" t="s">
        <v>1089</v>
      </c>
      <c r="AN44" s="419" t="s">
        <v>1095</v>
      </c>
      <c r="AO44" s="420" t="s">
        <v>1021</v>
      </c>
      <c r="AP44" s="420" t="s">
        <v>1022</v>
      </c>
      <c r="AQ44" s="420" t="s">
        <v>1152</v>
      </c>
      <c r="AR44" s="420" t="s">
        <v>1153</v>
      </c>
      <c r="AS44" s="420" t="s">
        <v>1021</v>
      </c>
      <c r="AT44" s="420" t="s">
        <v>1022</v>
      </c>
      <c r="AU44" s="420" t="s">
        <v>1023</v>
      </c>
      <c r="AV44" s="420" t="s">
        <v>1153</v>
      </c>
    </row>
    <row r="45" spans="1:48">
      <c r="B45" s="59" t="s">
        <v>18</v>
      </c>
      <c r="C45" s="85"/>
      <c r="D45" s="89" t="s">
        <v>38</v>
      </c>
      <c r="E45" s="85"/>
      <c r="F45" s="89" t="s">
        <v>814</v>
      </c>
      <c r="G45" s="85"/>
      <c r="H45" s="85"/>
      <c r="I45" s="85"/>
      <c r="J45" s="89" t="s">
        <v>121</v>
      </c>
      <c r="K45" s="89" t="str">
        <f>"/(台・h)"</f>
        <v>/(台・h)</v>
      </c>
      <c r="L45" s="85"/>
      <c r="M45" s="89" t="s">
        <v>121</v>
      </c>
      <c r="N45" s="89" t="s">
        <v>812</v>
      </c>
      <c r="O45" s="89" t="s">
        <v>813</v>
      </c>
      <c r="P45" s="89" t="s">
        <v>1181</v>
      </c>
      <c r="Q45" s="89" t="s">
        <v>1176</v>
      </c>
      <c r="R45" s="89" t="str">
        <f>"/年"</f>
        <v>/年</v>
      </c>
      <c r="S45" s="62" t="s">
        <v>5</v>
      </c>
      <c r="T45" s="89" t="s">
        <v>706</v>
      </c>
      <c r="U45" s="85"/>
      <c r="V45" s="89" t="s">
        <v>38</v>
      </c>
      <c r="W45" s="85"/>
      <c r="X45" s="85"/>
      <c r="Y45" s="85"/>
      <c r="Z45" s="85"/>
      <c r="AA45" s="89" t="s">
        <v>121</v>
      </c>
      <c r="AB45" s="89" t="str">
        <f>"/(台・h)"</f>
        <v>/(台・h)</v>
      </c>
      <c r="AC45" s="85"/>
      <c r="AD45" s="89" t="s">
        <v>1181</v>
      </c>
      <c r="AE45" s="89" t="s">
        <v>121</v>
      </c>
      <c r="AF45" s="89" t="str">
        <f>"/年"</f>
        <v>/年</v>
      </c>
      <c r="AG45" s="62" t="s">
        <v>5</v>
      </c>
      <c r="AH45" s="89" t="s">
        <v>706</v>
      </c>
      <c r="AI45" s="89" t="str">
        <f>"/年"</f>
        <v>/年</v>
      </c>
      <c r="AJ45" s="62" t="s">
        <v>5</v>
      </c>
      <c r="AK45" s="89" t="s">
        <v>706</v>
      </c>
      <c r="AM45" s="421"/>
      <c r="AN45" s="421"/>
      <c r="AO45" s="421"/>
      <c r="AP45" s="421"/>
      <c r="AQ45" s="423" t="s">
        <v>1101</v>
      </c>
      <c r="AR45" s="423" t="s">
        <v>1101</v>
      </c>
      <c r="AS45" s="433"/>
      <c r="AT45" s="433"/>
      <c r="AU45" s="433"/>
      <c r="AV45" s="423" t="s">
        <v>1101</v>
      </c>
    </row>
    <row r="46" spans="1:48">
      <c r="B46" s="71" t="s">
        <v>13</v>
      </c>
      <c r="C46" s="166"/>
      <c r="D46" s="167">
        <f>SUM(D47:D51)</f>
        <v>8</v>
      </c>
      <c r="E46" s="166"/>
      <c r="F46" s="166"/>
      <c r="G46" s="166"/>
      <c r="H46" s="166"/>
      <c r="I46" s="169"/>
      <c r="J46" s="166"/>
      <c r="K46" s="170"/>
      <c r="L46" s="168"/>
      <c r="M46" s="425"/>
      <c r="N46" s="168"/>
      <c r="O46" s="168"/>
      <c r="P46" s="169"/>
      <c r="Q46" s="467">
        <f>SUM(Q47:Q51)</f>
        <v>957.08123600000022</v>
      </c>
      <c r="R46" s="469">
        <f>SUM(R47:R51)</f>
        <v>72100.304088888894</v>
      </c>
      <c r="S46" s="171">
        <f>SUM(T47:T54)</f>
        <v>72.430332030934409</v>
      </c>
      <c r="T46" s="172">
        <f>SUM(U47:U54)</f>
        <v>0</v>
      </c>
      <c r="U46" s="168"/>
      <c r="V46" s="167">
        <f>SUM(V47:V51)</f>
        <v>8</v>
      </c>
      <c r="W46" s="166"/>
      <c r="X46" s="168"/>
      <c r="Y46" s="166"/>
      <c r="Z46" s="169"/>
      <c r="AA46" s="166"/>
      <c r="AB46" s="434"/>
      <c r="AC46" s="168"/>
      <c r="AD46" s="169"/>
      <c r="AE46" s="425"/>
      <c r="AF46" s="470">
        <f t="shared" ref="AF46:AK46" si="18">SUM(AF47:AF51)</f>
        <v>61493.64136059858</v>
      </c>
      <c r="AG46" s="171">
        <f t="shared" si="18"/>
        <v>118.98661977891528</v>
      </c>
      <c r="AH46" s="172">
        <f t="shared" si="18"/>
        <v>60.022323341417561</v>
      </c>
      <c r="AI46" s="470">
        <f t="shared" si="18"/>
        <v>6939.7856736842114</v>
      </c>
      <c r="AJ46" s="173">
        <f t="shared" si="18"/>
        <v>34.042116217373611</v>
      </c>
      <c r="AK46" s="174">
        <f t="shared" si="18"/>
        <v>12.408008689516839</v>
      </c>
      <c r="AM46" s="50"/>
      <c r="AN46" s="50"/>
      <c r="AO46" s="50"/>
      <c r="AP46" s="50"/>
      <c r="AQ46" s="108"/>
      <c r="AR46" s="108"/>
      <c r="AS46" s="108"/>
      <c r="AT46" s="255"/>
      <c r="AU46" s="108"/>
      <c r="AV46" s="108"/>
    </row>
    <row r="47" spans="1:48">
      <c r="B47" s="59" t="s">
        <v>122</v>
      </c>
      <c r="C47" s="268" t="s">
        <v>882</v>
      </c>
      <c r="D47" s="268">
        <v>1</v>
      </c>
      <c r="E47" s="202" t="s">
        <v>880</v>
      </c>
      <c r="F47" s="444"/>
      <c r="G47" s="426" t="s">
        <v>110</v>
      </c>
      <c r="H47" s="269">
        <v>350</v>
      </c>
      <c r="I47" s="427" t="s">
        <v>881</v>
      </c>
      <c r="J47" s="435">
        <v>0.88</v>
      </c>
      <c r="K47" s="270">
        <v>22.1</v>
      </c>
      <c r="L47" s="429" t="str">
        <f>IFERROR(VLOOKUP(G47,係数!$B$3:$I$30,5,FALSE),"")</f>
        <v>㎥</v>
      </c>
      <c r="M47" s="430">
        <v>0.25</v>
      </c>
      <c r="N47" s="268">
        <v>12</v>
      </c>
      <c r="O47" s="268">
        <v>345</v>
      </c>
      <c r="P47" s="18">
        <f>N47*O47</f>
        <v>4140</v>
      </c>
      <c r="Q47" s="468">
        <f t="shared" ref="Q47:Q51" si="19">IF(D47="",0,K47*D47*J47*M47*AR47)</f>
        <v>197.3972</v>
      </c>
      <c r="R47" s="466">
        <f>IF(P47=0,0,IF(E47="給湯器（HP）",K47*D47*P47*M47*AM47,K47*D47*P47*M47/(1-AN47)))</f>
        <v>25415</v>
      </c>
      <c r="S47" s="34">
        <f>R47*AP47</f>
        <v>52.100750000000005</v>
      </c>
      <c r="T47" s="105">
        <f>(R47*$AQ47)*0.0000258</f>
        <v>29.506815</v>
      </c>
      <c r="U47" s="268" t="s">
        <v>888</v>
      </c>
      <c r="V47" s="268">
        <v>1</v>
      </c>
      <c r="W47" s="202" t="s">
        <v>880</v>
      </c>
      <c r="X47" s="426" t="s">
        <v>110</v>
      </c>
      <c r="Y47" s="269">
        <v>350</v>
      </c>
      <c r="Z47" s="427" t="s">
        <v>881</v>
      </c>
      <c r="AA47" s="435">
        <v>0.96</v>
      </c>
      <c r="AB47" s="428">
        <v>20.258333333333333</v>
      </c>
      <c r="AC47" s="429" t="str">
        <f>IFERROR(VLOOKUP(X47,係数!$B$3:$J$30,5,FALSE),"")</f>
        <v>㎥</v>
      </c>
      <c r="AD47" s="18">
        <f>P47</f>
        <v>4140</v>
      </c>
      <c r="AE47" s="431">
        <f>IF(OR(V47="",Y47=""),0,M47*(H47*D47)/(Y47*V47))</f>
        <v>0.25</v>
      </c>
      <c r="AF47" s="361">
        <f t="shared" ref="AF47:AF51" si="20">AB47*V47*AD47*AE47</f>
        <v>20967.375</v>
      </c>
      <c r="AG47" s="34">
        <f t="shared" ref="AG47:AG51" si="21">AF47*AT47</f>
        <v>42.983118750000003</v>
      </c>
      <c r="AH47" s="105">
        <f>(AF47*$AU47)*0.0000258</f>
        <v>24.343122375</v>
      </c>
      <c r="AI47" s="361">
        <f t="shared" ref="AI47:AI51" si="22">IF(G47=X47,R47-AF47,"(燃料転換)")</f>
        <v>4447.625</v>
      </c>
      <c r="AJ47" s="315">
        <f t="shared" ref="AJ47:AJ51" si="23">S47-AG47</f>
        <v>9.1176312500000023</v>
      </c>
      <c r="AK47" s="137">
        <f t="shared" ref="AK47:AK49" si="24">T47-AH47</f>
        <v>5.1636926249999995</v>
      </c>
      <c r="AM47" s="87" t="str">
        <f t="shared" ref="AM47:AM51" si="25">IF(E47="給湯器（HP）",IF(F47="",1,MIN(1.5,(2026-F47)*0.02+1)),"ー")</f>
        <v>ー</v>
      </c>
      <c r="AN47" s="87">
        <f t="shared" ref="AN47:AN51" si="26">IF(OR(E47="",E47="給湯器（HP）"),"ー",0.1)</f>
        <v>0.1</v>
      </c>
      <c r="AO47" s="429" t="str">
        <f>G47</f>
        <v>都市ガス</v>
      </c>
      <c r="AP47" s="436">
        <f>IFERROR(VLOOKUP(AO47,係数!$B$3:$J$30,8,FALSE),0)</f>
        <v>2.0500000000000002E-3</v>
      </c>
      <c r="AQ47" s="437">
        <f>IFERROR(VLOOKUP(AO47,係数!$B$3:$J$30,2,FALSE),0)</f>
        <v>45</v>
      </c>
      <c r="AR47" s="437">
        <f>IFERROR(VLOOKUP(G47,係数!$B$3:$J$30,3,FALSE),0)</f>
        <v>40.6</v>
      </c>
      <c r="AS47" s="438" t="str">
        <f>X47</f>
        <v>都市ガス</v>
      </c>
      <c r="AT47" s="436">
        <f>IFERROR(VLOOKUP(AS47,係数!$B$3:$J$30,8,FALSE),0)</f>
        <v>2.0500000000000002E-3</v>
      </c>
      <c r="AU47" s="437">
        <f>IFERROR(VLOOKUP(AS47,係数!$B$3:$J$30,2,FALSE),0)</f>
        <v>45</v>
      </c>
      <c r="AV47" s="437">
        <f>IFERROR(VLOOKUP(X47,係数!$B$3:$J$30,3,FALSE),0)</f>
        <v>40.6</v>
      </c>
    </row>
    <row r="48" spans="1:48">
      <c r="B48" s="59" t="s">
        <v>123</v>
      </c>
      <c r="C48" s="268" t="s">
        <v>883</v>
      </c>
      <c r="D48" s="268">
        <v>4</v>
      </c>
      <c r="E48" s="202" t="s">
        <v>1144</v>
      </c>
      <c r="F48" s="444"/>
      <c r="G48" s="426" t="s">
        <v>110</v>
      </c>
      <c r="H48" s="269">
        <v>87.2</v>
      </c>
      <c r="I48" s="427" t="s">
        <v>339</v>
      </c>
      <c r="J48" s="435">
        <v>0.90928050052137643</v>
      </c>
      <c r="K48" s="270">
        <v>7.4802000000000008</v>
      </c>
      <c r="L48" s="429" t="str">
        <f>IFERROR(VLOOKUP(G48,係数!$B$3:$I$30,5,FALSE),"")</f>
        <v>㎥</v>
      </c>
      <c r="M48" s="430">
        <v>0.4</v>
      </c>
      <c r="N48" s="268">
        <v>3</v>
      </c>
      <c r="O48" s="268">
        <v>260</v>
      </c>
      <c r="P48" s="18">
        <f t="shared" ref="P48:P49" si="27">N48*O48</f>
        <v>780</v>
      </c>
      <c r="Q48" s="468">
        <f t="shared" si="19"/>
        <v>441.8319360000001</v>
      </c>
      <c r="R48" s="466">
        <f>IF(P48=0,0,IF(E48="給湯器（HP）",K48*D48*P48*M48*AM48,K48*D48*P48*M48/(1-AN48)))</f>
        <v>10372.544000000002</v>
      </c>
      <c r="S48" s="34">
        <f>R48*AP48</f>
        <v>21.263715200000004</v>
      </c>
      <c r="T48" s="105">
        <f>(R48*$AQ48)*0.0000258</f>
        <v>12.042523584000003</v>
      </c>
      <c r="U48" s="268" t="s">
        <v>889</v>
      </c>
      <c r="V48" s="268">
        <v>4</v>
      </c>
      <c r="W48" s="202" t="s">
        <v>1144</v>
      </c>
      <c r="X48" s="426" t="s">
        <v>110</v>
      </c>
      <c r="Y48" s="269">
        <v>87.2</v>
      </c>
      <c r="Z48" s="427" t="s">
        <v>339</v>
      </c>
      <c r="AA48" s="435">
        <v>0.95</v>
      </c>
      <c r="AB48" s="428">
        <v>7.1595789473684217</v>
      </c>
      <c r="AC48" s="429" t="str">
        <f>IFERROR(VLOOKUP(X48,係数!$B$3:$J$30,5,FALSE),"")</f>
        <v>㎥</v>
      </c>
      <c r="AD48" s="18">
        <f>P48</f>
        <v>780</v>
      </c>
      <c r="AE48" s="431">
        <f>IF(OR(V48="",Y48=""),0,M48*(H48*D48)/(Y48*V48))</f>
        <v>0.4</v>
      </c>
      <c r="AF48" s="361">
        <f t="shared" si="20"/>
        <v>8935.1545263157914</v>
      </c>
      <c r="AG48" s="34">
        <f t="shared" si="21"/>
        <v>18.317066778947375</v>
      </c>
      <c r="AH48" s="105">
        <f>(AF48*$AU48)*0.0000258</f>
        <v>10.373714405052633</v>
      </c>
      <c r="AI48" s="361">
        <f t="shared" si="22"/>
        <v>1437.3894736842103</v>
      </c>
      <c r="AJ48" s="315">
        <f t="shared" si="23"/>
        <v>2.9466484210526289</v>
      </c>
      <c r="AK48" s="137">
        <f t="shared" si="24"/>
        <v>1.6688091789473702</v>
      </c>
      <c r="AM48" s="87" t="str">
        <f t="shared" si="25"/>
        <v>ー</v>
      </c>
      <c r="AN48" s="87">
        <f t="shared" si="26"/>
        <v>0.1</v>
      </c>
      <c r="AO48" s="429" t="str">
        <f t="shared" ref="AO48:AO51" si="28">G48</f>
        <v>都市ガス</v>
      </c>
      <c r="AP48" s="436">
        <f>IFERROR(VLOOKUP(AO48,係数!$B$3:$J$30,8,FALSE),0)</f>
        <v>2.0500000000000002E-3</v>
      </c>
      <c r="AQ48" s="437">
        <f>IFERROR(VLOOKUP(AO48,係数!$B$3:$J$30,2,FALSE),0)</f>
        <v>45</v>
      </c>
      <c r="AR48" s="437">
        <f>IFERROR(VLOOKUP(G48,係数!$B$3:$J$30,3,FALSE),0)</f>
        <v>40.6</v>
      </c>
      <c r="AS48" s="438" t="str">
        <f t="shared" ref="AS48:AS51" si="29">X48</f>
        <v>都市ガス</v>
      </c>
      <c r="AT48" s="436">
        <f>IFERROR(VLOOKUP(AS48,係数!$B$3:$J$30,8,FALSE),0)</f>
        <v>2.0500000000000002E-3</v>
      </c>
      <c r="AU48" s="437">
        <f>IFERROR(VLOOKUP(AS48,係数!$B$3:$J$30,2,FALSE),0)</f>
        <v>45</v>
      </c>
      <c r="AV48" s="437">
        <f>IFERROR(VLOOKUP(X48,係数!$B$3:$J$30,3,FALSE),0)</f>
        <v>40.6</v>
      </c>
    </row>
    <row r="49" spans="2:48">
      <c r="B49" s="59" t="s">
        <v>124</v>
      </c>
      <c r="C49" s="268" t="s">
        <v>884</v>
      </c>
      <c r="D49" s="268">
        <v>1</v>
      </c>
      <c r="E49" s="202" t="s">
        <v>344</v>
      </c>
      <c r="F49" s="444">
        <v>2012</v>
      </c>
      <c r="G49" s="426" t="s">
        <v>3</v>
      </c>
      <c r="H49" s="269">
        <v>40</v>
      </c>
      <c r="I49" s="427" t="s">
        <v>339</v>
      </c>
      <c r="J49" s="435">
        <f>H49/K49</f>
        <v>4.0983606557377046</v>
      </c>
      <c r="K49" s="270">
        <v>9.76</v>
      </c>
      <c r="L49" s="429" t="str">
        <f>IFERROR(VLOOKUP(G49,係数!$B$3:$I$30,5,FALSE),"")</f>
        <v>kWh</v>
      </c>
      <c r="M49" s="430">
        <v>0.3</v>
      </c>
      <c r="N49" s="268">
        <v>6</v>
      </c>
      <c r="O49" s="268">
        <v>280</v>
      </c>
      <c r="P49" s="18">
        <f t="shared" si="27"/>
        <v>1680</v>
      </c>
      <c r="Q49" s="468">
        <f t="shared" si="19"/>
        <v>43.199999999999996</v>
      </c>
      <c r="R49" s="466">
        <f>IF(P49=0,0,IF(E49="給湯器（HP）",K49*D49*P49*M49*AM49,K49*D49*P49*M49/(1-AN49)))</f>
        <v>6296.3712000000005</v>
      </c>
      <c r="S49" s="34">
        <f>R49*AP49</f>
        <v>2.8459597824</v>
      </c>
      <c r="T49" s="105">
        <f>(R49*$AQ49)*0.0000258</f>
        <v>1.4035366969344003</v>
      </c>
      <c r="U49" s="268" t="s">
        <v>890</v>
      </c>
      <c r="V49" s="268">
        <v>1</v>
      </c>
      <c r="W49" s="202" t="s">
        <v>344</v>
      </c>
      <c r="X49" s="426" t="s">
        <v>3</v>
      </c>
      <c r="Y49" s="269">
        <v>6</v>
      </c>
      <c r="Z49" s="427" t="s">
        <v>339</v>
      </c>
      <c r="AA49" s="435">
        <f>6/1.56</f>
        <v>3.8461538461538458</v>
      </c>
      <c r="AB49" s="428">
        <v>1.5599999999999998</v>
      </c>
      <c r="AC49" s="429" t="str">
        <f>IFERROR(VLOOKUP(X49,係数!$B$3:$J$30,5,FALSE),"")</f>
        <v>kWh</v>
      </c>
      <c r="AD49" s="18">
        <f>P49</f>
        <v>1680</v>
      </c>
      <c r="AE49" s="431">
        <f>IF(OR(V49="",Y49=""),0,M49*(H49*D49)/(Y49*V49))</f>
        <v>2</v>
      </c>
      <c r="AF49" s="361">
        <f t="shared" si="20"/>
        <v>5241.5999999999995</v>
      </c>
      <c r="AG49" s="34">
        <f t="shared" si="21"/>
        <v>2.3692031999999998</v>
      </c>
      <c r="AH49" s="105">
        <f>(AF49*$AU49)*0.0000258</f>
        <v>1.1684155392</v>
      </c>
      <c r="AI49" s="361">
        <f t="shared" si="22"/>
        <v>1054.771200000001</v>
      </c>
      <c r="AJ49" s="315">
        <f t="shared" si="23"/>
        <v>0.47675658240000018</v>
      </c>
      <c r="AK49" s="137">
        <f t="shared" si="24"/>
        <v>0.23512115773440034</v>
      </c>
      <c r="AM49" s="87">
        <f t="shared" si="25"/>
        <v>1.28</v>
      </c>
      <c r="AN49" s="87" t="str">
        <f t="shared" si="26"/>
        <v>ー</v>
      </c>
      <c r="AO49" s="429" t="str">
        <f t="shared" si="28"/>
        <v>電気</v>
      </c>
      <c r="AP49" s="436">
        <f>IFERROR(VLOOKUP(AO49,係数!$B$3:$J$30,8,FALSE),0)</f>
        <v>4.5199999999999998E-4</v>
      </c>
      <c r="AQ49" s="437">
        <f>IFERROR(VLOOKUP(AO49,係数!$B$3:$J$30,2,FALSE),0)</f>
        <v>8.64</v>
      </c>
      <c r="AR49" s="437">
        <f>IFERROR(VLOOKUP(G49,係数!$B$3:$J$30,3,FALSE),0)</f>
        <v>3.6</v>
      </c>
      <c r="AS49" s="438" t="str">
        <f t="shared" si="29"/>
        <v>電気</v>
      </c>
      <c r="AT49" s="436">
        <f>IFERROR(VLOOKUP(AS49,係数!$B$3:$J$30,8,FALSE),0)</f>
        <v>4.5199999999999998E-4</v>
      </c>
      <c r="AU49" s="437">
        <f>IFERROR(VLOOKUP(AS49,係数!$B$3:$J$30,2,FALSE),0)</f>
        <v>8.64</v>
      </c>
      <c r="AV49" s="437">
        <f>IFERROR(VLOOKUP(X49,係数!$B$3:$J$30,3,FALSE),0)</f>
        <v>3.6</v>
      </c>
    </row>
    <row r="50" spans="2:48">
      <c r="B50" s="59" t="s">
        <v>125</v>
      </c>
      <c r="C50" s="268" t="s">
        <v>891</v>
      </c>
      <c r="D50" s="268">
        <v>1</v>
      </c>
      <c r="E50" s="202" t="s">
        <v>880</v>
      </c>
      <c r="F50" s="444"/>
      <c r="G50" s="426" t="s">
        <v>893</v>
      </c>
      <c r="H50" s="269">
        <v>233</v>
      </c>
      <c r="I50" s="427" t="s">
        <v>339</v>
      </c>
      <c r="J50" s="435">
        <v>0.9</v>
      </c>
      <c r="K50" s="270">
        <v>25.3</v>
      </c>
      <c r="L50" s="429" t="str">
        <f>IFERROR(VLOOKUP(G50,係数!$B$3:$I$30,5,FALSE),"")</f>
        <v>L</v>
      </c>
      <c r="M50" s="430">
        <v>0.3</v>
      </c>
      <c r="N50" s="268">
        <v>9</v>
      </c>
      <c r="O50" s="268">
        <v>350</v>
      </c>
      <c r="P50" s="18">
        <f t="shared" ref="P50:P51" si="30">N50*O50</f>
        <v>3150</v>
      </c>
      <c r="Q50" s="468">
        <f t="shared" si="19"/>
        <v>234.09837000000002</v>
      </c>
      <c r="R50" s="466">
        <f>IF(P50=0,0,IF(E50="給湯器（HP）",K50*D50*P50*M50*AM50,K50*D50*P50*M50/(1-AN50)))</f>
        <v>26565</v>
      </c>
      <c r="S50" s="34">
        <f>R50*AP50</f>
        <v>66.483782750000003</v>
      </c>
      <c r="T50" s="105">
        <f>(R50*$AQ50)*0.0000258</f>
        <v>25.016260500000001</v>
      </c>
      <c r="U50" s="268" t="s">
        <v>894</v>
      </c>
      <c r="V50" s="268">
        <v>1</v>
      </c>
      <c r="W50" s="202" t="s">
        <v>880</v>
      </c>
      <c r="X50" s="426" t="s">
        <v>346</v>
      </c>
      <c r="Y50" s="269">
        <v>233</v>
      </c>
      <c r="Z50" s="427" t="s">
        <v>339</v>
      </c>
      <c r="AA50" s="435">
        <v>0.93</v>
      </c>
      <c r="AB50" s="428">
        <v>18.067662749020588</v>
      </c>
      <c r="AC50" s="429" t="str">
        <f>IFERROR(VLOOKUP(X50,係数!$B$3:$J$30,5,FALSE),"")</f>
        <v>kg</v>
      </c>
      <c r="AD50" s="18">
        <f>P50</f>
        <v>3150</v>
      </c>
      <c r="AE50" s="431">
        <f>IF(OR(V50="",Y50=""),0,M50*(H50*D50)/(Y50*V50))</f>
        <v>0.3</v>
      </c>
      <c r="AF50" s="361">
        <f t="shared" si="20"/>
        <v>17073.941297824455</v>
      </c>
      <c r="AG50" s="34">
        <f t="shared" si="21"/>
        <v>51.124673167488744</v>
      </c>
      <c r="AH50" s="105">
        <f>(AF50*$AU50)*0.0000258</f>
        <v>22.069435042741933</v>
      </c>
      <c r="AI50" s="361" t="str">
        <f t="shared" si="22"/>
        <v>(燃料転換)</v>
      </c>
      <c r="AJ50" s="315">
        <f t="shared" si="23"/>
        <v>15.359109582511259</v>
      </c>
      <c r="AK50" s="137">
        <f>T50-AH50</f>
        <v>2.9468254572580683</v>
      </c>
      <c r="AM50" s="87" t="str">
        <f t="shared" si="25"/>
        <v>ー</v>
      </c>
      <c r="AN50" s="87">
        <f t="shared" si="26"/>
        <v>0.1</v>
      </c>
      <c r="AO50" s="429" t="str">
        <f t="shared" si="28"/>
        <v>灯油</v>
      </c>
      <c r="AP50" s="436">
        <f>IFERROR(VLOOKUP(AO50,係数!$B$3:$J$30,8,FALSE),0)</f>
        <v>2.5026833333333335E-3</v>
      </c>
      <c r="AQ50" s="437">
        <f>IFERROR(VLOOKUP(AO50,係数!$B$3:$J$30,2,FALSE),0)</f>
        <v>36.5</v>
      </c>
      <c r="AR50" s="437">
        <f>IFERROR(VLOOKUP(G50,係数!$B$3:$J$30,3,FALSE),0)</f>
        <v>34.270000000000003</v>
      </c>
      <c r="AS50" s="438" t="str">
        <f t="shared" si="29"/>
        <v>液化石油ガス（LPG）</v>
      </c>
      <c r="AT50" s="436">
        <f>IFERROR(VLOOKUP(AS50,係数!$B$3:$J$30,8,FALSE),0)</f>
        <v>2.99431E-3</v>
      </c>
      <c r="AU50" s="437">
        <f>IFERROR(VLOOKUP(AS50,係数!$B$3:$J$30,2,FALSE),0)</f>
        <v>50.1</v>
      </c>
      <c r="AV50" s="437">
        <f>IFERROR(VLOOKUP(X50,係数!$B$3:$J$30,3,FALSE),0)</f>
        <v>46.44</v>
      </c>
    </row>
    <row r="51" spans="2:48">
      <c r="B51" s="59" t="s">
        <v>126</v>
      </c>
      <c r="C51" s="268" t="s">
        <v>887</v>
      </c>
      <c r="D51" s="268">
        <v>1</v>
      </c>
      <c r="E51" s="202" t="s">
        <v>880</v>
      </c>
      <c r="F51" s="444"/>
      <c r="G51" s="426" t="s">
        <v>346</v>
      </c>
      <c r="H51" s="269">
        <v>26.5</v>
      </c>
      <c r="I51" s="427" t="s">
        <v>339</v>
      </c>
      <c r="J51" s="435">
        <v>0.998</v>
      </c>
      <c r="K51" s="268">
        <v>2.5</v>
      </c>
      <c r="L51" s="429" t="str">
        <f>IFERROR(VLOOKUP(G51,係数!$B$3:$I$30,5,FALSE),"")</f>
        <v>kg</v>
      </c>
      <c r="M51" s="430">
        <v>0.35</v>
      </c>
      <c r="N51" s="268">
        <v>10</v>
      </c>
      <c r="O51" s="268">
        <v>355</v>
      </c>
      <c r="P51" s="18">
        <f t="shared" si="30"/>
        <v>3550</v>
      </c>
      <c r="Q51" s="468">
        <f t="shared" si="19"/>
        <v>40.553729999999995</v>
      </c>
      <c r="R51" s="466">
        <f>IF(P51=0,0,IF(E51="給湯器（HP）",K51*D51*P51*M51*AM51,K51*D51*P51*M51/(1-AN51)))</f>
        <v>3451.3888888888887</v>
      </c>
      <c r="S51" s="34">
        <f>R51*AP51</f>
        <v>10.334528263888888</v>
      </c>
      <c r="T51" s="105">
        <f>(R51*$AQ51)*0.0000258</f>
        <v>4.4611962499999995</v>
      </c>
      <c r="U51" s="268" t="s">
        <v>895</v>
      </c>
      <c r="V51" s="268">
        <v>1</v>
      </c>
      <c r="W51" s="202" t="s">
        <v>344</v>
      </c>
      <c r="X51" s="426" t="s">
        <v>892</v>
      </c>
      <c r="Y51" s="269">
        <v>7.2</v>
      </c>
      <c r="Z51" s="427" t="s">
        <v>339</v>
      </c>
      <c r="AA51" s="435">
        <f>7.2/1.67</f>
        <v>4.3113772455089823</v>
      </c>
      <c r="AB51" s="428">
        <v>2.0282937735849056</v>
      </c>
      <c r="AC51" s="429" t="str">
        <f>IFERROR(VLOOKUP(X51,係数!$B$3:$J$30,5,FALSE),"")</f>
        <v>kWh</v>
      </c>
      <c r="AD51" s="18">
        <f>P51</f>
        <v>3550</v>
      </c>
      <c r="AE51" s="431">
        <f>IF(OR(V51="",Y51=""),0,M51*(H51*D51)/(Y51*V51))</f>
        <v>1.2881944444444442</v>
      </c>
      <c r="AF51" s="361">
        <f t="shared" si="20"/>
        <v>9275.5705364583318</v>
      </c>
      <c r="AG51" s="34">
        <f t="shared" si="21"/>
        <v>4.1925578824791661</v>
      </c>
      <c r="AH51" s="105">
        <f>(AF51*$AU51)*0.0000258</f>
        <v>2.0676359794230001</v>
      </c>
      <c r="AI51" s="361" t="str">
        <f t="shared" si="22"/>
        <v>(燃料転換)</v>
      </c>
      <c r="AJ51" s="315">
        <f t="shared" si="23"/>
        <v>6.1419703814097222</v>
      </c>
      <c r="AK51" s="137">
        <f t="shared" ref="AK51" si="31">T51-AH51</f>
        <v>2.3935602705769994</v>
      </c>
      <c r="AM51" s="87" t="str">
        <f t="shared" si="25"/>
        <v>ー</v>
      </c>
      <c r="AN51" s="87">
        <f t="shared" si="26"/>
        <v>0.1</v>
      </c>
      <c r="AO51" s="429" t="str">
        <f t="shared" si="28"/>
        <v>液化石油ガス（LPG）</v>
      </c>
      <c r="AP51" s="436">
        <f>IFERROR(VLOOKUP(AO51,係数!$B$3:$J$30,8,FALSE),0)</f>
        <v>2.99431E-3</v>
      </c>
      <c r="AQ51" s="437">
        <f>IFERROR(VLOOKUP(AO51,係数!$B$3:$J$30,2,FALSE),0)</f>
        <v>50.1</v>
      </c>
      <c r="AR51" s="437">
        <f>IFERROR(VLOOKUP(G51,係数!$B$3:$J$30,3,FALSE),0)</f>
        <v>46.44</v>
      </c>
      <c r="AS51" s="438" t="str">
        <f t="shared" si="29"/>
        <v>電気</v>
      </c>
      <c r="AT51" s="436">
        <f>IFERROR(VLOOKUP(AS51,係数!$B$3:$J$30,8,FALSE),0)</f>
        <v>4.5199999999999998E-4</v>
      </c>
      <c r="AU51" s="437">
        <f>IFERROR(VLOOKUP(AS51,係数!$B$3:$J$30,2,FALSE),0)</f>
        <v>8.64</v>
      </c>
      <c r="AV51" s="437">
        <f>IFERROR(VLOOKUP(X51,係数!$B$3:$J$30,3,FALSE),0)</f>
        <v>3.6</v>
      </c>
    </row>
    <row r="55" spans="2:48">
      <c r="AM55" s="439"/>
      <c r="AN55" s="183"/>
    </row>
    <row r="56" spans="2:48">
      <c r="AM56" s="56"/>
      <c r="AN56" s="56"/>
    </row>
    <row r="57" spans="2:48">
      <c r="AM57" s="440"/>
      <c r="AN57" s="110"/>
      <c r="AO57" s="56"/>
      <c r="AT57" s="56"/>
    </row>
  </sheetData>
  <sheetProtection algorithmName="SHA-512" hashValue="yAPdLOEqKqpaK/9/XHG3bPmQrhsp3X8GLImUmS6bF2xoeW3X8SE1cBvwVbpuWFIK3sCXsLiP+qCTBHNHq3OElw==" saltValue="Y3WfEbQZdrupPz29JuMlNQ==" spinCount="100000" sheet="1" objects="1" formatCells="0" formatColumns="0" formatRows="0"/>
  <mergeCells count="15">
    <mergeCell ref="U12:AA12"/>
    <mergeCell ref="U13:AA13"/>
    <mergeCell ref="U14:AA14"/>
    <mergeCell ref="M9:N9"/>
    <mergeCell ref="M8:N8"/>
    <mergeCell ref="M7:N7"/>
    <mergeCell ref="M3:V3"/>
    <mergeCell ref="M4:V4"/>
    <mergeCell ref="M6:V6"/>
    <mergeCell ref="Q7:V9"/>
    <mergeCell ref="B4:C4"/>
    <mergeCell ref="B5:C5"/>
    <mergeCell ref="B6:C6"/>
    <mergeCell ref="B43:B44"/>
    <mergeCell ref="B19:B20"/>
  </mergeCells>
  <phoneticPr fontId="8"/>
  <conditionalFormatting sqref="E6:F6">
    <cfRule type="expression" dxfId="61" priority="36">
      <formula>$E$1="なし"</formula>
    </cfRule>
  </conditionalFormatting>
  <conditionalFormatting sqref="H5">
    <cfRule type="expression" dxfId="60" priority="38">
      <formula>$E$1="なし"</formula>
    </cfRule>
  </conditionalFormatting>
  <conditionalFormatting sqref="O9">
    <cfRule type="cellIs" dxfId="59" priority="24" operator="greaterThan">
      <formula>$O$8</formula>
    </cfRule>
  </conditionalFormatting>
  <conditionalFormatting sqref="P9">
    <cfRule type="cellIs" dxfId="58" priority="23" operator="greaterThan">
      <formula>$P$8</formula>
    </cfRule>
  </conditionalFormatting>
  <conditionalFormatting sqref="Q7">
    <cfRule type="cellIs" dxfId="57" priority="22" operator="notEqual">
      <formula>"ー"</formula>
    </cfRule>
  </conditionalFormatting>
  <conditionalFormatting sqref="X23:Y32">
    <cfRule type="expression" dxfId="56" priority="25">
      <formula>$D$1="なし"</formula>
    </cfRule>
  </conditionalFormatting>
  <conditionalFormatting sqref="X47:Y51">
    <cfRule type="expression" dxfId="55" priority="5">
      <formula>$D$1="なし"</formula>
    </cfRule>
  </conditionalFormatting>
  <conditionalFormatting sqref="AA23:AA32 AH23:AI32 AK23:AK32">
    <cfRule type="expression" dxfId="54" priority="34">
      <formula>$D$1="なし"</formula>
    </cfRule>
  </conditionalFormatting>
  <conditionalFormatting sqref="AA47:AA51 AH47:AI51 AK47:AK51">
    <cfRule type="expression" dxfId="53" priority="8">
      <formula>$D$1="なし"</formula>
    </cfRule>
  </conditionalFormatting>
  <conditionalFormatting sqref="AC23:AC32">
    <cfRule type="expression" dxfId="52" priority="30">
      <formula>$D$1="なし"</formula>
    </cfRule>
  </conditionalFormatting>
  <conditionalFormatting sqref="AC47:AC51">
    <cfRule type="expression" dxfId="51" priority="1">
      <formula>$D$1="なし"</formula>
    </cfRule>
  </conditionalFormatting>
  <dataValidations count="2">
    <dataValidation type="list" allowBlank="1" showInputMessage="1" showErrorMessage="1" sqref="W47:W51 E23:E32 W23:W32 E47:E51" xr:uid="{00000000-0002-0000-0400-000000000000}">
      <formula1>"ボイラー,給湯器（燃焼式）,給湯器（HP）"</formula1>
    </dataValidation>
    <dataValidation type="list" allowBlank="1" showInputMessage="1" showErrorMessage="1" sqref="Z23:Z32 I23:I32 I47:I51 Z47:Z51" xr:uid="{00000000-0002-0000-0400-000001000000}">
      <formula1>"t/h,kW"</formula1>
    </dataValidation>
  </dataValidations>
  <hyperlinks>
    <hyperlink ref="U12" display="https://www.enecho.meti.go.jp/category/saving_and_new/saving/enterprise/equipment/" xr:uid="{51790186-A1CF-4614-B48A-8A8A063093EC}"/>
    <hyperlink ref="U13" location="search" display="https://sii.or.jp/setsubi07r/search/maker?tab=maker&amp;category=boiler#search" xr:uid="{E6C09361-358D-46C2-B496-EDF56F0C4694}"/>
    <hyperlink ref="U14" display="https://www.env.go.jp/policy/hozen/green/g-law/index.html" xr:uid="{0BC2796C-DDFA-4B2A-A686-274B642EE859}"/>
  </hyperlinks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colBreaks count="1" manualBreakCount="1">
    <brk id="20" max="31" man="1"/>
  </colBreaks>
  <ignoredErrors>
    <ignoredError sqref="J49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2000000}">
          <x14:formula1>
            <xm:f>係数!$B$3:$B$30</xm:f>
          </x14:formula1>
          <xm:sqref>X23:X32 X47:X51 G47:G51 G23:G32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G42"/>
  <sheetViews>
    <sheetView zoomScale="85" zoomScaleNormal="85" workbookViewId="0">
      <selection activeCell="J26" sqref="J26"/>
    </sheetView>
  </sheetViews>
  <sheetFormatPr defaultRowHeight="18.75"/>
  <cols>
    <col min="1" max="1" width="3.625" customWidth="1"/>
    <col min="2" max="2" width="10.125" customWidth="1"/>
    <col min="3" max="3" width="16.625" customWidth="1"/>
    <col min="4" max="6" width="9.125" customWidth="1"/>
    <col min="7" max="7" width="9.125" style="56" customWidth="1"/>
    <col min="8" max="11" width="9.125" customWidth="1"/>
    <col min="12" max="12" width="9" customWidth="1"/>
    <col min="13" max="13" width="8.875" customWidth="1"/>
    <col min="14" max="17" width="9.125" customWidth="1"/>
    <col min="18" max="18" width="16.625" customWidth="1"/>
    <col min="19" max="24" width="9.125" customWidth="1"/>
    <col min="25" max="25" width="9" hidden="1" customWidth="1"/>
    <col min="26" max="28" width="9.125" customWidth="1"/>
    <col min="29" max="29" width="8.875" customWidth="1"/>
    <col min="30" max="33" width="9.125" customWidth="1"/>
  </cols>
  <sheetData>
    <row r="1" spans="1:33" ht="30">
      <c r="A1" s="11" t="str">
        <f>照明!A1</f>
        <v>令和8年度：排出量削減効果算定シート</v>
      </c>
      <c r="I1" s="110"/>
      <c r="L1" s="74"/>
    </row>
    <row r="2" spans="1:33" ht="30">
      <c r="A2" s="11" t="s">
        <v>348</v>
      </c>
      <c r="G2"/>
    </row>
    <row r="3" spans="1:33" ht="24">
      <c r="B3" s="126" t="s">
        <v>837</v>
      </c>
      <c r="E3" s="56"/>
      <c r="G3"/>
      <c r="J3" s="211"/>
      <c r="L3" s="678" t="str">
        <f>IF(OR(L7="",L7="なし"),"特記事項","特記事項（記載必須）")</f>
        <v>特記事項</v>
      </c>
      <c r="M3" s="679"/>
      <c r="N3" s="679"/>
      <c r="O3" s="679"/>
      <c r="P3" s="679"/>
      <c r="Q3" s="679"/>
      <c r="R3" s="679"/>
      <c r="S3" s="679"/>
      <c r="T3" s="679"/>
      <c r="U3" s="680"/>
    </row>
    <row r="4" spans="1:33">
      <c r="B4" s="700" t="s">
        <v>17</v>
      </c>
      <c r="C4" s="701"/>
      <c r="D4" s="59" t="s">
        <v>18</v>
      </c>
      <c r="E4" s="38" t="s">
        <v>19</v>
      </c>
      <c r="F4" s="38" t="s">
        <v>20</v>
      </c>
      <c r="G4" s="38" t="s">
        <v>21</v>
      </c>
      <c r="J4" s="271"/>
      <c r="L4" s="709" t="s">
        <v>904</v>
      </c>
      <c r="M4" s="710"/>
      <c r="N4" s="710"/>
      <c r="O4" s="710"/>
      <c r="P4" s="710"/>
      <c r="Q4" s="710"/>
      <c r="R4" s="710"/>
      <c r="S4" s="710"/>
      <c r="T4" s="710"/>
      <c r="U4" s="711"/>
    </row>
    <row r="5" spans="1:33">
      <c r="B5" s="702" t="s">
        <v>93</v>
      </c>
      <c r="C5" s="703"/>
      <c r="D5" s="89" t="s">
        <v>16</v>
      </c>
      <c r="E5" s="47">
        <f>O19</f>
        <v>0</v>
      </c>
      <c r="F5" s="47">
        <f>AB19</f>
        <v>0</v>
      </c>
      <c r="G5" s="47">
        <f>AE19</f>
        <v>0</v>
      </c>
      <c r="J5" s="271"/>
      <c r="O5" s="216"/>
      <c r="P5" s="216"/>
      <c r="Q5" s="216"/>
      <c r="R5" s="216"/>
      <c r="S5" s="216"/>
      <c r="T5" s="216"/>
      <c r="U5" s="216"/>
      <c r="V5" s="216"/>
      <c r="W5" s="216"/>
      <c r="X5" s="216"/>
    </row>
    <row r="6" spans="1:33">
      <c r="B6" s="702" t="s">
        <v>1</v>
      </c>
      <c r="C6" s="703"/>
      <c r="D6" s="62" t="s">
        <v>5</v>
      </c>
      <c r="E6" s="48">
        <f>P19</f>
        <v>0</v>
      </c>
      <c r="F6" s="48">
        <f>AC19</f>
        <v>0</v>
      </c>
      <c r="G6" s="317">
        <f>AF19</f>
        <v>0</v>
      </c>
      <c r="J6" s="271"/>
      <c r="L6" s="705" t="s">
        <v>331</v>
      </c>
      <c r="M6" s="705"/>
      <c r="N6" s="705"/>
      <c r="O6" s="705"/>
      <c r="P6" s="705"/>
      <c r="Q6" s="705"/>
      <c r="R6" s="705"/>
      <c r="S6" s="705"/>
      <c r="T6" s="705"/>
      <c r="U6" s="705"/>
      <c r="W6" s="52" t="s">
        <v>1184</v>
      </c>
    </row>
    <row r="7" spans="1:33">
      <c r="B7" s="702" t="s">
        <v>969</v>
      </c>
      <c r="C7" s="703"/>
      <c r="D7" s="89" t="s">
        <v>24</v>
      </c>
      <c r="E7" s="69">
        <f>Q19</f>
        <v>0</v>
      </c>
      <c r="F7" s="69">
        <f>AD19</f>
        <v>0</v>
      </c>
      <c r="G7" s="152">
        <f>AG19</f>
        <v>0</v>
      </c>
      <c r="H7" s="127"/>
      <c r="I7" s="146"/>
      <c r="J7" s="257"/>
      <c r="L7" s="16" t="str">
        <f>IF(OR(X7=0,X8=0),"",IF(X7=X8,"増減なし",IF(X7&gt;X8,"減少","増加")))</f>
        <v/>
      </c>
      <c r="M7" s="712" t="str">
        <f>IF(OR(L7="",L7="増減なし"),"ー",IF(L7="減少","減少する理由を特記事項欄に記載してください。","やむを得ず増加する場合は特記事項欄に理由を記載してください。(要根拠資料提出)"))</f>
        <v>ー</v>
      </c>
      <c r="N7" s="712"/>
      <c r="O7" s="712"/>
      <c r="P7" s="712"/>
      <c r="Q7" s="712"/>
      <c r="R7" s="712"/>
      <c r="S7" s="712"/>
      <c r="T7" s="712"/>
      <c r="U7" s="712"/>
      <c r="W7" s="9" t="s">
        <v>19</v>
      </c>
      <c r="X7" s="33">
        <f>SUM(D20*F20,D21*F21,D22*F22,D23*F23,D24*F24,D25*F25,D26*F26,D27*F27,D28*F28,D29*F29)</f>
        <v>0</v>
      </c>
    </row>
    <row r="8" spans="1:33">
      <c r="B8" s="221" t="s">
        <v>916</v>
      </c>
      <c r="G8"/>
      <c r="W8" s="9" t="s">
        <v>95</v>
      </c>
      <c r="X8" s="33">
        <f>SUM(S20*U20,S21*U21,S22*U22,S23*U23,S24*U24,S25*U25,S26*U26,S27*U27,S28*U28,S29*U29)</f>
        <v>0</v>
      </c>
    </row>
    <row r="9" spans="1:33" ht="19.5" thickBot="1"/>
    <row r="10" spans="1:33">
      <c r="G10"/>
      <c r="L10" s="222" t="s">
        <v>828</v>
      </c>
      <c r="M10" s="223"/>
      <c r="N10" s="223"/>
      <c r="O10" s="223"/>
      <c r="P10" s="142"/>
      <c r="Q10" s="744" t="s">
        <v>821</v>
      </c>
      <c r="R10" s="745"/>
      <c r="S10" s="745"/>
      <c r="T10" s="745"/>
      <c r="U10" s="745"/>
      <c r="V10" s="745"/>
      <c r="W10" s="745"/>
      <c r="X10" s="746"/>
    </row>
    <row r="11" spans="1:33" ht="19.5" thickBot="1">
      <c r="G11"/>
      <c r="L11" s="272" t="s">
        <v>829</v>
      </c>
      <c r="M11" s="273"/>
      <c r="N11" s="273"/>
      <c r="O11" s="273"/>
      <c r="P11" s="181"/>
      <c r="Q11" s="750" t="s">
        <v>1155</v>
      </c>
      <c r="R11" s="751"/>
      <c r="S11" s="751"/>
      <c r="T11" s="751"/>
      <c r="U11" s="751"/>
      <c r="V11" s="751"/>
      <c r="W11" s="751"/>
      <c r="X11" s="752"/>
    </row>
    <row r="12" spans="1:33">
      <c r="B12" s="32"/>
      <c r="G12"/>
      <c r="L12" s="274"/>
      <c r="M12" s="274"/>
      <c r="N12" s="274"/>
      <c r="O12" s="274"/>
      <c r="P12" s="274"/>
      <c r="Q12" s="275"/>
      <c r="R12" s="274"/>
      <c r="S12" s="151"/>
      <c r="T12" s="275"/>
      <c r="U12" s="275"/>
      <c r="V12" s="275"/>
      <c r="W12" s="275"/>
      <c r="X12" s="275"/>
    </row>
    <row r="13" spans="1:33">
      <c r="B13" s="32"/>
    </row>
    <row r="14" spans="1:33">
      <c r="B14" s="32"/>
    </row>
    <row r="15" spans="1:33">
      <c r="B15" s="229" t="str">
        <f>HYPERLINK("#", "【記入例：B36】ハイパーリンク")</f>
        <v>【記入例：B36】ハイパーリンク</v>
      </c>
      <c r="G15"/>
      <c r="O15" s="31"/>
    </row>
    <row r="16" spans="1:33">
      <c r="B16" s="660" t="s">
        <v>17</v>
      </c>
      <c r="C16" s="64" t="s">
        <v>19</v>
      </c>
      <c r="D16" s="65"/>
      <c r="E16" s="65"/>
      <c r="F16" s="276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6"/>
      <c r="R16" s="64" t="s">
        <v>20</v>
      </c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6"/>
      <c r="AE16" s="64" t="s">
        <v>26</v>
      </c>
      <c r="AF16" s="65"/>
      <c r="AG16" s="66"/>
    </row>
    <row r="17" spans="1:33" ht="37.5">
      <c r="B17" s="699"/>
      <c r="C17" s="61" t="s">
        <v>833</v>
      </c>
      <c r="D17" s="61" t="s">
        <v>1083</v>
      </c>
      <c r="E17" s="61" t="s">
        <v>145</v>
      </c>
      <c r="F17" s="61" t="s">
        <v>1091</v>
      </c>
      <c r="G17" s="61" t="s">
        <v>146</v>
      </c>
      <c r="H17" s="61" t="s">
        <v>113</v>
      </c>
      <c r="I17" s="61" t="s">
        <v>1097</v>
      </c>
      <c r="J17" s="61" t="s">
        <v>92</v>
      </c>
      <c r="K17" s="61" t="s">
        <v>1169</v>
      </c>
      <c r="L17" s="61" t="s">
        <v>1076</v>
      </c>
      <c r="M17" s="61" t="s">
        <v>33</v>
      </c>
      <c r="N17" s="61" t="s">
        <v>1077</v>
      </c>
      <c r="O17" s="61" t="s">
        <v>23</v>
      </c>
      <c r="P17" s="61" t="s">
        <v>1068</v>
      </c>
      <c r="Q17" s="144" t="s">
        <v>969</v>
      </c>
      <c r="R17" s="61" t="s">
        <v>833</v>
      </c>
      <c r="S17" s="61" t="s">
        <v>1083</v>
      </c>
      <c r="T17" s="61" t="s">
        <v>145</v>
      </c>
      <c r="U17" s="61" t="s">
        <v>1091</v>
      </c>
      <c r="V17" s="61" t="s">
        <v>146</v>
      </c>
      <c r="W17" s="61" t="s">
        <v>113</v>
      </c>
      <c r="X17" s="61" t="s">
        <v>1097</v>
      </c>
      <c r="Y17" s="61" t="s">
        <v>92</v>
      </c>
      <c r="Z17" s="61" t="s">
        <v>1169</v>
      </c>
      <c r="AA17" s="61" t="s">
        <v>983</v>
      </c>
      <c r="AB17" s="61" t="s">
        <v>23</v>
      </c>
      <c r="AC17" s="61" t="s">
        <v>1068</v>
      </c>
      <c r="AD17" s="144" t="s">
        <v>969</v>
      </c>
      <c r="AE17" s="61" t="s">
        <v>1071</v>
      </c>
      <c r="AF17" s="61" t="s">
        <v>1074</v>
      </c>
      <c r="AG17" s="61" t="s">
        <v>915</v>
      </c>
    </row>
    <row r="18" spans="1:33">
      <c r="B18" s="63" t="s">
        <v>18</v>
      </c>
      <c r="C18" s="115"/>
      <c r="D18" s="38" t="s">
        <v>815</v>
      </c>
      <c r="E18" s="115"/>
      <c r="F18" s="38" t="s">
        <v>325</v>
      </c>
      <c r="G18" s="38" t="s">
        <v>816</v>
      </c>
      <c r="H18" s="38" t="s">
        <v>326</v>
      </c>
      <c r="I18" s="38" t="s">
        <v>98</v>
      </c>
      <c r="J18" s="38" t="s">
        <v>817</v>
      </c>
      <c r="K18" s="115"/>
      <c r="L18" s="38" t="s">
        <v>812</v>
      </c>
      <c r="M18" s="38" t="s">
        <v>813</v>
      </c>
      <c r="N18" s="38" t="s">
        <v>147</v>
      </c>
      <c r="O18" s="38" t="s">
        <v>16</v>
      </c>
      <c r="P18" s="61" t="s">
        <v>5</v>
      </c>
      <c r="Q18" s="145" t="s">
        <v>706</v>
      </c>
      <c r="R18" s="115"/>
      <c r="S18" s="89" t="s">
        <v>815</v>
      </c>
      <c r="T18" s="85"/>
      <c r="U18" s="89" t="s">
        <v>14</v>
      </c>
      <c r="V18" s="89" t="s">
        <v>816</v>
      </c>
      <c r="W18" s="89" t="s">
        <v>15</v>
      </c>
      <c r="X18" s="89" t="s">
        <v>98</v>
      </c>
      <c r="Y18" s="89" t="s">
        <v>817</v>
      </c>
      <c r="Z18" s="85"/>
      <c r="AA18" s="89" t="s">
        <v>147</v>
      </c>
      <c r="AB18" s="89" t="s">
        <v>16</v>
      </c>
      <c r="AC18" s="62" t="s">
        <v>5</v>
      </c>
      <c r="AD18" s="145" t="s">
        <v>706</v>
      </c>
      <c r="AE18" s="89" t="s">
        <v>16</v>
      </c>
      <c r="AF18" s="62" t="s">
        <v>5</v>
      </c>
      <c r="AG18" s="89" t="s">
        <v>706</v>
      </c>
    </row>
    <row r="19" spans="1:33">
      <c r="B19" s="96" t="s">
        <v>13</v>
      </c>
      <c r="C19" s="238"/>
      <c r="D19" s="52">
        <f>SUM(D20:D29)</f>
        <v>0</v>
      </c>
      <c r="E19" s="238"/>
      <c r="F19" s="449">
        <f>SUM(F20:F29)</f>
        <v>0</v>
      </c>
      <c r="G19" s="238"/>
      <c r="H19" s="238"/>
      <c r="I19" s="238"/>
      <c r="J19" s="238"/>
      <c r="K19" s="238"/>
      <c r="L19" s="238"/>
      <c r="M19" s="238"/>
      <c r="N19" s="238"/>
      <c r="O19" s="177">
        <f>SUM(O20:O29)</f>
        <v>0</v>
      </c>
      <c r="P19" s="451">
        <f>SUM(P20:P29)</f>
        <v>0</v>
      </c>
      <c r="Q19" s="175">
        <f>SUM(Q20:Q29)</f>
        <v>0</v>
      </c>
      <c r="R19" s="168"/>
      <c r="S19" s="52">
        <f>SUM(S20:S29)</f>
        <v>0</v>
      </c>
      <c r="T19" s="238"/>
      <c r="U19" s="408">
        <f>SUM(U20:U29)</f>
        <v>0</v>
      </c>
      <c r="V19" s="238"/>
      <c r="W19" s="238"/>
      <c r="X19" s="238"/>
      <c r="Y19" s="238"/>
      <c r="Z19" s="238"/>
      <c r="AA19" s="238"/>
      <c r="AB19" s="177">
        <f t="shared" ref="AB19:AG19" si="0">SUM(AB20:AB29)</f>
        <v>0</v>
      </c>
      <c r="AC19" s="176">
        <f t="shared" si="0"/>
        <v>0</v>
      </c>
      <c r="AD19" s="175">
        <f t="shared" si="0"/>
        <v>0</v>
      </c>
      <c r="AE19" s="177">
        <f t="shared" si="0"/>
        <v>0</v>
      </c>
      <c r="AF19" s="176">
        <f t="shared" si="0"/>
        <v>0</v>
      </c>
      <c r="AG19" s="178">
        <f t="shared" si="0"/>
        <v>0</v>
      </c>
    </row>
    <row r="20" spans="1:33">
      <c r="B20" s="59" t="s">
        <v>42</v>
      </c>
      <c r="C20" s="3"/>
      <c r="D20" s="3"/>
      <c r="E20" s="51"/>
      <c r="F20" s="489"/>
      <c r="G20" s="51"/>
      <c r="H20" s="19" t="str">
        <f>IF(G20="2極",AVERAGEIFS(モーター効率!$C$2:$C$122,モーター効率!$A$2:$A$122,E20,モーター効率!$B$2:$B$122,F20),IF(G20="4極",AVERAGEIFS(モーター効率!$D$2:$D$122,モーター効率!$A$2:$A$122,E20,モーター効率!$B$2:$B$122,F20),IF(G20="6極",AVERAGEIFS(モーター効率!$E$2:$E$122,モーター効率!$A$2:$A$122,E20,モーター効率!$B$2:$B$122,F20),IF(G20="8極",AVERAGEIFS(モーター効率!$F$2:$F$122,モーター効率!$A$2:$A$122,E20,モーター効率!$B$2:$B$122,F20),""))))</f>
        <v/>
      </c>
      <c r="I20" s="437" t="str">
        <f>IF(H20="","",F20/H20)</f>
        <v/>
      </c>
      <c r="J20" s="125">
        <v>1</v>
      </c>
      <c r="K20" s="99" t="s">
        <v>341</v>
      </c>
      <c r="L20" s="194"/>
      <c r="M20" s="194"/>
      <c r="N20" s="448">
        <f>L20*M20</f>
        <v>0</v>
      </c>
      <c r="O20" s="282">
        <f>IF(OR(D20="",I20="",J20="",N20=""),0,IF(K20="○",D20*I20*J20*N20*0.9,D20*I20*J20*N20))</f>
        <v>0</v>
      </c>
      <c r="P20" s="94">
        <f>IF(O20="","",O20*係数!$I$30)</f>
        <v>0</v>
      </c>
      <c r="Q20" s="280">
        <f>O20*係数!$C$30*0.0000258</f>
        <v>0</v>
      </c>
      <c r="R20" s="104"/>
      <c r="S20" s="3"/>
      <c r="T20" s="51"/>
      <c r="U20" s="490"/>
      <c r="V20" s="51"/>
      <c r="W20" s="19" t="str">
        <f>IF(V20="2極",AVERAGEIFS(モーター効率!$C$2:$C$122,モーター効率!$A$2:$A$122,T20,モーター効率!$B$2:$B$122,U20),IF(V20="4極",AVERAGEIFS(モーター効率!$D$2:$D$122,モーター効率!$A$2:$A$122,T20,モーター効率!$B$2:$B$122,U20),IF(V20="6極",AVERAGEIFS(モーター効率!$E$2:$E$122,モーター効率!$A$2:$A$122,T20,モーター効率!$B$2:$B$122,U20),IF(V20="8極",AVERAGEIFS(モーター効率!$F$2:$F$122,モーター効率!$A$2:$A$122,T20,モーター効率!$B$2:$B$122,U20),""))))</f>
        <v/>
      </c>
      <c r="X20" s="437" t="str">
        <f t="shared" ref="X20:X29" si="1">IF(W20="","",U20/W20)</f>
        <v/>
      </c>
      <c r="Y20" s="125">
        <v>1</v>
      </c>
      <c r="Z20" s="99" t="s">
        <v>341</v>
      </c>
      <c r="AA20" s="107">
        <f>IF(N20="","",N20)</f>
        <v>0</v>
      </c>
      <c r="AB20" s="282">
        <f>IF(OR(S20="",X20="",Y20="",AA20=""),0,IF(Z20="○",S20*X20*Y20*AA20*0.9,S20*X20*Y20*AA20))</f>
        <v>0</v>
      </c>
      <c r="AC20" s="88">
        <f>IF(AB20="","",AB20*係数!$I$30)</f>
        <v>0</v>
      </c>
      <c r="AD20" s="280">
        <f>AB20*係数!$C$30*0.0000258</f>
        <v>0</v>
      </c>
      <c r="AE20" s="282">
        <f t="shared" ref="AE20:AE29" si="2">IF(OR(O20="",AB20=""),"",O20-AB20)</f>
        <v>0</v>
      </c>
      <c r="AF20" s="314">
        <f t="shared" ref="AF20:AF29" si="3">P20-AC20</f>
        <v>0</v>
      </c>
      <c r="AG20" s="283">
        <f t="shared" ref="AG20:AG29" si="4">Q20-AD20</f>
        <v>0</v>
      </c>
    </row>
    <row r="21" spans="1:33">
      <c r="B21" s="59" t="s">
        <v>43</v>
      </c>
      <c r="C21" s="3"/>
      <c r="D21" s="3"/>
      <c r="E21" s="51"/>
      <c r="F21" s="489"/>
      <c r="G21" s="51"/>
      <c r="H21" s="19" t="str">
        <f>IF(G21="2極",AVERAGEIFS(モーター効率!$C$2:$C$122,モーター効率!$A$2:$A$122,E21,モーター効率!$B$2:$B$122,F21),IF(G21="4極",AVERAGEIFS(モーター効率!$D$2:$D$122,モーター効率!$A$2:$A$122,E21,モーター効率!$B$2:$B$122,F21),IF(G21="6極",AVERAGEIFS(モーター効率!$E$2:$E$122,モーター効率!$A$2:$A$122,E21,モーター効率!$B$2:$B$122,F21),IF(G21="8極",AVERAGEIFS(モーター効率!$F$2:$F$122,モーター効率!$A$2:$A$122,E21,モーター効率!$B$2:$B$122,F21),""))))</f>
        <v/>
      </c>
      <c r="I21" s="437" t="str">
        <f>IF(H21="","",F21/H21)</f>
        <v/>
      </c>
      <c r="J21" s="125">
        <v>1</v>
      </c>
      <c r="K21" s="99" t="s">
        <v>341</v>
      </c>
      <c r="L21" s="305"/>
      <c r="M21" s="305"/>
      <c r="N21" s="448">
        <f t="shared" ref="N21:N28" si="5">L21*M21</f>
        <v>0</v>
      </c>
      <c r="O21" s="282">
        <f t="shared" ref="O21:O29" si="6">IF(OR(D21="",I21="",J21="",N21=""),0,IF(K21="○",D21*I21*J21*N21*0.9,D21*I21*J21*N21))</f>
        <v>0</v>
      </c>
      <c r="P21" s="94">
        <f>IF(O21="","",O21*係数!$I$30)</f>
        <v>0</v>
      </c>
      <c r="Q21" s="280">
        <f>O21*係数!$C$30*0.0000258</f>
        <v>0</v>
      </c>
      <c r="R21" s="104"/>
      <c r="S21" s="3"/>
      <c r="T21" s="51"/>
      <c r="U21" s="490"/>
      <c r="V21" s="51"/>
      <c r="W21" s="19" t="str">
        <f>IF(V21="2極",AVERAGEIFS(モーター効率!$C$2:$C$122,モーター効率!$A$2:$A$122,T21,モーター効率!$B$2:$B$122,U21),IF(V21="4極",AVERAGEIFS(モーター効率!$D$2:$D$122,モーター効率!$A$2:$A$122,T21,モーター効率!$B$2:$B$122,U21),IF(V21="6極",AVERAGEIFS(モーター効率!$E$2:$E$122,モーター効率!$A$2:$A$122,T21,モーター効率!$B$2:$B$122,U21),IF(V21="8極",AVERAGEIFS(モーター効率!$F$2:$F$122,モーター効率!$A$2:$A$122,T21,モーター効率!$B$2:$B$122,U21),""))))</f>
        <v/>
      </c>
      <c r="X21" s="437" t="str">
        <f t="shared" si="1"/>
        <v/>
      </c>
      <c r="Y21" s="125">
        <v>1</v>
      </c>
      <c r="Z21" s="99" t="s">
        <v>341</v>
      </c>
      <c r="AA21" s="107">
        <f>IF(N21="","",N21)</f>
        <v>0</v>
      </c>
      <c r="AB21" s="282">
        <f t="shared" ref="AB21:AB29" si="7">IF(OR(S21="",X21="",Y21="",AA21=""),0,IF(Z21="○",S21*X21*Y21*AA21*0.9,S21*X21*Y21*AA21))</f>
        <v>0</v>
      </c>
      <c r="AC21" s="88">
        <f>IF(AB21="","",AB21*係数!$I$30)</f>
        <v>0</v>
      </c>
      <c r="AD21" s="280">
        <f>AB21*係数!$C$30*0.0000258</f>
        <v>0</v>
      </c>
      <c r="AE21" s="282">
        <f t="shared" si="2"/>
        <v>0</v>
      </c>
      <c r="AF21" s="314">
        <f t="shared" si="3"/>
        <v>0</v>
      </c>
      <c r="AG21" s="283">
        <f t="shared" si="4"/>
        <v>0</v>
      </c>
    </row>
    <row r="22" spans="1:33">
      <c r="B22" s="59" t="s">
        <v>44</v>
      </c>
      <c r="C22" s="3"/>
      <c r="D22" s="3"/>
      <c r="E22" s="51"/>
      <c r="F22" s="489"/>
      <c r="G22" s="51"/>
      <c r="H22" s="19" t="str">
        <f>IF(G22="2極",AVERAGEIFS(モーター効率!$C$2:$C$122,モーター効率!$A$2:$A$122,E22,モーター効率!$B$2:$B$122,F22),IF(G22="4極",AVERAGEIFS(モーター効率!$D$2:$D$122,モーター効率!$A$2:$A$122,E22,モーター効率!$B$2:$B$122,F22),IF(G22="6極",AVERAGEIFS(モーター効率!$E$2:$E$122,モーター効率!$A$2:$A$122,E22,モーター効率!$B$2:$B$122,F22),IF(G22="8極",AVERAGEIFS(モーター効率!$F$2:$F$122,モーター効率!$A$2:$A$122,E22,モーター効率!$B$2:$B$122,F22),""))))</f>
        <v/>
      </c>
      <c r="I22" s="437" t="str">
        <f t="shared" ref="I22:I29" si="8">IF(H22="","",F22/H22)</f>
        <v/>
      </c>
      <c r="J22" s="125">
        <v>1</v>
      </c>
      <c r="K22" s="99" t="s">
        <v>341</v>
      </c>
      <c r="L22" s="305"/>
      <c r="M22" s="305"/>
      <c r="N22" s="448">
        <f t="shared" si="5"/>
        <v>0</v>
      </c>
      <c r="O22" s="282">
        <f t="shared" si="6"/>
        <v>0</v>
      </c>
      <c r="P22" s="94">
        <f>IF(O22="","",O22*係数!$I$30)</f>
        <v>0</v>
      </c>
      <c r="Q22" s="280">
        <f>O22*係数!$C$30*0.0000258</f>
        <v>0</v>
      </c>
      <c r="R22" s="104"/>
      <c r="S22" s="3"/>
      <c r="T22" s="51"/>
      <c r="U22" s="490"/>
      <c r="V22" s="51"/>
      <c r="W22" s="19" t="str">
        <f>IF(V22="2極",AVERAGEIFS(モーター効率!$C$2:$C$122,モーター効率!$A$2:$A$122,T22,モーター効率!$B$2:$B$122,U22),IF(V22="4極",AVERAGEIFS(モーター効率!$D$2:$D$122,モーター効率!$A$2:$A$122,T22,モーター効率!$B$2:$B$122,U22),IF(V22="6極",AVERAGEIFS(モーター効率!$E$2:$E$122,モーター効率!$A$2:$A$122,T22,モーター効率!$B$2:$B$122,U22),IF(V22="8極",AVERAGEIFS(モーター効率!$F$2:$F$122,モーター効率!$A$2:$A$122,T22,モーター効率!$B$2:$B$122,U22),""))))</f>
        <v/>
      </c>
      <c r="X22" s="437" t="str">
        <f t="shared" si="1"/>
        <v/>
      </c>
      <c r="Y22" s="125">
        <v>1</v>
      </c>
      <c r="Z22" s="99" t="s">
        <v>341</v>
      </c>
      <c r="AA22" s="107">
        <f t="shared" ref="AA22:AA29" si="9">IF(N22="","",N22)</f>
        <v>0</v>
      </c>
      <c r="AB22" s="282">
        <f t="shared" si="7"/>
        <v>0</v>
      </c>
      <c r="AC22" s="88">
        <f>IF(AB22="","",AB22*係数!$I$30)</f>
        <v>0</v>
      </c>
      <c r="AD22" s="280">
        <f>AB22*係数!$C$30*0.0000258</f>
        <v>0</v>
      </c>
      <c r="AE22" s="282">
        <f t="shared" si="2"/>
        <v>0</v>
      </c>
      <c r="AF22" s="314">
        <f t="shared" si="3"/>
        <v>0</v>
      </c>
      <c r="AG22" s="283">
        <f t="shared" si="4"/>
        <v>0</v>
      </c>
    </row>
    <row r="23" spans="1:33">
      <c r="B23" s="59" t="s">
        <v>45</v>
      </c>
      <c r="C23" s="3"/>
      <c r="D23" s="3"/>
      <c r="E23" s="51"/>
      <c r="F23" s="489"/>
      <c r="G23" s="51"/>
      <c r="H23" s="19" t="str">
        <f>IF(G23="2極",AVERAGEIFS(モーター効率!$C$2:$C$122,モーター効率!$A$2:$A$122,E23,モーター効率!$B$2:$B$122,F23),IF(G23="4極",AVERAGEIFS(モーター効率!$D$2:$D$122,モーター効率!$A$2:$A$122,E23,モーター効率!$B$2:$B$122,F23),IF(G23="6極",AVERAGEIFS(モーター効率!$E$2:$E$122,モーター効率!$A$2:$A$122,E23,モーター効率!$B$2:$B$122,F23),IF(G23="8極",AVERAGEIFS(モーター効率!$F$2:$F$122,モーター効率!$A$2:$A$122,E23,モーター効率!$B$2:$B$122,F23),""))))</f>
        <v/>
      </c>
      <c r="I23" s="437" t="str">
        <f t="shared" si="8"/>
        <v/>
      </c>
      <c r="J23" s="125">
        <v>1</v>
      </c>
      <c r="K23" s="99" t="s">
        <v>341</v>
      </c>
      <c r="L23" s="305"/>
      <c r="M23" s="305"/>
      <c r="N23" s="448">
        <f t="shared" si="5"/>
        <v>0</v>
      </c>
      <c r="O23" s="282">
        <f t="shared" si="6"/>
        <v>0</v>
      </c>
      <c r="P23" s="94">
        <f>IF(O23="","",O23*係数!$I$30)</f>
        <v>0</v>
      </c>
      <c r="Q23" s="280">
        <f>O23*係数!$C$30*0.0000258</f>
        <v>0</v>
      </c>
      <c r="R23" s="104"/>
      <c r="S23" s="3"/>
      <c r="T23" s="51"/>
      <c r="U23" s="490"/>
      <c r="V23" s="51"/>
      <c r="W23" s="19" t="str">
        <f>IF(V23="2極",AVERAGEIFS(モーター効率!$C$2:$C$122,モーター効率!$A$2:$A$122,T23,モーター効率!$B$2:$B$122,U23),IF(V23="4極",AVERAGEIFS(モーター効率!$D$2:$D$122,モーター効率!$A$2:$A$122,T23,モーター効率!$B$2:$B$122,U23),IF(V23="6極",AVERAGEIFS(モーター効率!$E$2:$E$122,モーター効率!$A$2:$A$122,T23,モーター効率!$B$2:$B$122,U23),IF(V23="8極",AVERAGEIFS(モーター効率!$F$2:$F$122,モーター効率!$A$2:$A$122,T23,モーター効率!$B$2:$B$122,U23),""))))</f>
        <v/>
      </c>
      <c r="X23" s="437" t="str">
        <f t="shared" si="1"/>
        <v/>
      </c>
      <c r="Y23" s="125">
        <v>1</v>
      </c>
      <c r="Z23" s="99" t="s">
        <v>341</v>
      </c>
      <c r="AA23" s="107">
        <f t="shared" si="9"/>
        <v>0</v>
      </c>
      <c r="AB23" s="282">
        <f t="shared" si="7"/>
        <v>0</v>
      </c>
      <c r="AC23" s="88">
        <f>IF(AB23="","",AB23*係数!$I$30)</f>
        <v>0</v>
      </c>
      <c r="AD23" s="280">
        <f>AB23*係数!$C$30*0.0000258</f>
        <v>0</v>
      </c>
      <c r="AE23" s="282">
        <f t="shared" si="2"/>
        <v>0</v>
      </c>
      <c r="AF23" s="314">
        <f t="shared" si="3"/>
        <v>0</v>
      </c>
      <c r="AG23" s="283">
        <f t="shared" si="4"/>
        <v>0</v>
      </c>
    </row>
    <row r="24" spans="1:33">
      <c r="B24" s="59" t="s">
        <v>46</v>
      </c>
      <c r="C24" s="3"/>
      <c r="D24" s="3"/>
      <c r="E24" s="51"/>
      <c r="F24" s="489"/>
      <c r="G24" s="51"/>
      <c r="H24" s="19" t="str">
        <f>IF(G24="2極",AVERAGEIFS(モーター効率!$C$2:$C$122,モーター効率!$A$2:$A$122,E24,モーター効率!$B$2:$B$122,F24),IF(G24="4極",AVERAGEIFS(モーター効率!$D$2:$D$122,モーター効率!$A$2:$A$122,E24,モーター効率!$B$2:$B$122,F24),IF(G24="6極",AVERAGEIFS(モーター効率!$E$2:$E$122,モーター効率!$A$2:$A$122,E24,モーター効率!$B$2:$B$122,F24),IF(G24="8極",AVERAGEIFS(モーター効率!$F$2:$F$122,モーター効率!$A$2:$A$122,E24,モーター効率!$B$2:$B$122,F24),""))))</f>
        <v/>
      </c>
      <c r="I24" s="437" t="str">
        <f t="shared" si="8"/>
        <v/>
      </c>
      <c r="J24" s="125">
        <v>1</v>
      </c>
      <c r="K24" s="99" t="s">
        <v>341</v>
      </c>
      <c r="L24" s="305"/>
      <c r="M24" s="305"/>
      <c r="N24" s="448">
        <f t="shared" si="5"/>
        <v>0</v>
      </c>
      <c r="O24" s="282">
        <f t="shared" si="6"/>
        <v>0</v>
      </c>
      <c r="P24" s="94">
        <f>IF(O24="","",O24*係数!$I$30)</f>
        <v>0</v>
      </c>
      <c r="Q24" s="280">
        <f>O24*係数!$C$30*0.0000258</f>
        <v>0</v>
      </c>
      <c r="R24" s="104"/>
      <c r="S24" s="3"/>
      <c r="T24" s="51"/>
      <c r="U24" s="490"/>
      <c r="V24" s="51"/>
      <c r="W24" s="19" t="str">
        <f>IF(V24="2極",AVERAGEIFS(モーター効率!$C$2:$C$122,モーター効率!$A$2:$A$122,T24,モーター効率!$B$2:$B$122,U24),IF(V24="4極",AVERAGEIFS(モーター効率!$D$2:$D$122,モーター効率!$A$2:$A$122,T24,モーター効率!$B$2:$B$122,U24),IF(V24="6極",AVERAGEIFS(モーター効率!$E$2:$E$122,モーター効率!$A$2:$A$122,T24,モーター効率!$B$2:$B$122,U24),IF(V24="8極",AVERAGEIFS(モーター効率!$F$2:$F$122,モーター効率!$A$2:$A$122,T24,モーター効率!$B$2:$B$122,U24),""))))</f>
        <v/>
      </c>
      <c r="X24" s="437" t="str">
        <f t="shared" si="1"/>
        <v/>
      </c>
      <c r="Y24" s="125">
        <v>1</v>
      </c>
      <c r="Z24" s="99" t="s">
        <v>341</v>
      </c>
      <c r="AA24" s="107">
        <f t="shared" si="9"/>
        <v>0</v>
      </c>
      <c r="AB24" s="282">
        <f t="shared" si="7"/>
        <v>0</v>
      </c>
      <c r="AC24" s="88">
        <f>IF(AB24="","",AB24*係数!$I$30)</f>
        <v>0</v>
      </c>
      <c r="AD24" s="280">
        <f>AB24*係数!$C$30*0.0000258</f>
        <v>0</v>
      </c>
      <c r="AE24" s="282">
        <f t="shared" si="2"/>
        <v>0</v>
      </c>
      <c r="AF24" s="314">
        <f t="shared" si="3"/>
        <v>0</v>
      </c>
      <c r="AG24" s="283">
        <f t="shared" si="4"/>
        <v>0</v>
      </c>
    </row>
    <row r="25" spans="1:33">
      <c r="B25" s="59" t="s">
        <v>47</v>
      </c>
      <c r="C25" s="3"/>
      <c r="D25" s="3"/>
      <c r="E25" s="51"/>
      <c r="F25" s="489"/>
      <c r="G25" s="51"/>
      <c r="H25" s="19" t="str">
        <f>IF(G25="2極",AVERAGEIFS(モーター効率!$C$2:$C$122,モーター効率!$A$2:$A$122,E25,モーター効率!$B$2:$B$122,F25),IF(G25="4極",AVERAGEIFS(モーター効率!$D$2:$D$122,モーター効率!$A$2:$A$122,E25,モーター効率!$B$2:$B$122,F25),IF(G25="6極",AVERAGEIFS(モーター効率!$E$2:$E$122,モーター効率!$A$2:$A$122,E25,モーター効率!$B$2:$B$122,F25),IF(G25="8極",AVERAGEIFS(モーター効率!$F$2:$F$122,モーター効率!$A$2:$A$122,E25,モーター効率!$B$2:$B$122,F25),""))))</f>
        <v/>
      </c>
      <c r="I25" s="437" t="str">
        <f t="shared" si="8"/>
        <v/>
      </c>
      <c r="J25" s="125">
        <v>1</v>
      </c>
      <c r="K25" s="99" t="s">
        <v>341</v>
      </c>
      <c r="L25" s="305"/>
      <c r="M25" s="305"/>
      <c r="N25" s="448">
        <f t="shared" si="5"/>
        <v>0</v>
      </c>
      <c r="O25" s="282">
        <f t="shared" si="6"/>
        <v>0</v>
      </c>
      <c r="P25" s="94">
        <f>IF(O25="","",O25*係数!$I$30)</f>
        <v>0</v>
      </c>
      <c r="Q25" s="280">
        <f>O25*係数!$C$30*0.0000258</f>
        <v>0</v>
      </c>
      <c r="R25" s="104"/>
      <c r="S25" s="3"/>
      <c r="T25" s="51"/>
      <c r="U25" s="490"/>
      <c r="V25" s="51"/>
      <c r="W25" s="19" t="str">
        <f>IF(V25="2極",AVERAGEIFS(モーター効率!$C$2:$C$122,モーター効率!$A$2:$A$122,T25,モーター効率!$B$2:$B$122,U25),IF(V25="4極",AVERAGEIFS(モーター効率!$D$2:$D$122,モーター効率!$A$2:$A$122,T25,モーター効率!$B$2:$B$122,U25),IF(V25="6極",AVERAGEIFS(モーター効率!$E$2:$E$122,モーター効率!$A$2:$A$122,T25,モーター効率!$B$2:$B$122,U25),IF(V25="8極",AVERAGEIFS(モーター効率!$F$2:$F$122,モーター効率!$A$2:$A$122,T25,モーター効率!$B$2:$B$122,U25),""))))</f>
        <v/>
      </c>
      <c r="X25" s="437" t="str">
        <f t="shared" si="1"/>
        <v/>
      </c>
      <c r="Y25" s="125">
        <v>1</v>
      </c>
      <c r="Z25" s="99" t="s">
        <v>341</v>
      </c>
      <c r="AA25" s="107">
        <f t="shared" si="9"/>
        <v>0</v>
      </c>
      <c r="AB25" s="282">
        <f t="shared" si="7"/>
        <v>0</v>
      </c>
      <c r="AC25" s="88">
        <f>IF(AB25="","",AB25*係数!$I$30)</f>
        <v>0</v>
      </c>
      <c r="AD25" s="280">
        <f>AB25*係数!$C$30*0.0000258</f>
        <v>0</v>
      </c>
      <c r="AE25" s="282">
        <f t="shared" si="2"/>
        <v>0</v>
      </c>
      <c r="AF25" s="314">
        <f t="shared" si="3"/>
        <v>0</v>
      </c>
      <c r="AG25" s="283">
        <f t="shared" si="4"/>
        <v>0</v>
      </c>
    </row>
    <row r="26" spans="1:33">
      <c r="B26" s="59" t="s">
        <v>48</v>
      </c>
      <c r="C26" s="3"/>
      <c r="D26" s="3"/>
      <c r="E26" s="51"/>
      <c r="F26" s="489"/>
      <c r="G26" s="51"/>
      <c r="H26" s="19" t="str">
        <f>IF(G26="2極",AVERAGEIFS(モーター効率!$C$2:$C$122,モーター効率!$A$2:$A$122,E26,モーター効率!$B$2:$B$122,F26),IF(G26="4極",AVERAGEIFS(モーター効率!$D$2:$D$122,モーター効率!$A$2:$A$122,E26,モーター効率!$B$2:$B$122,F26),IF(G26="6極",AVERAGEIFS(モーター効率!$E$2:$E$122,モーター効率!$A$2:$A$122,E26,モーター効率!$B$2:$B$122,F26),IF(G26="8極",AVERAGEIFS(モーター効率!$F$2:$F$122,モーター効率!$A$2:$A$122,E26,モーター効率!$B$2:$B$122,F26),""))))</f>
        <v/>
      </c>
      <c r="I26" s="437" t="str">
        <f t="shared" si="8"/>
        <v/>
      </c>
      <c r="J26" s="125">
        <v>1</v>
      </c>
      <c r="K26" s="99" t="s">
        <v>341</v>
      </c>
      <c r="L26" s="305"/>
      <c r="M26" s="305"/>
      <c r="N26" s="448">
        <f t="shared" si="5"/>
        <v>0</v>
      </c>
      <c r="O26" s="282">
        <f t="shared" si="6"/>
        <v>0</v>
      </c>
      <c r="P26" s="94">
        <f>IF(O26="","",O26*係数!$I$30)</f>
        <v>0</v>
      </c>
      <c r="Q26" s="280">
        <f>O26*係数!$C$30*0.0000258</f>
        <v>0</v>
      </c>
      <c r="R26" s="104"/>
      <c r="S26" s="3"/>
      <c r="T26" s="51"/>
      <c r="U26" s="490"/>
      <c r="V26" s="51"/>
      <c r="W26" s="19" t="str">
        <f>IF(V26="2極",AVERAGEIFS(モーター効率!$C$2:$C$122,モーター効率!$A$2:$A$122,T26,モーター効率!$B$2:$B$122,U26),IF(V26="4極",AVERAGEIFS(モーター効率!$D$2:$D$122,モーター効率!$A$2:$A$122,T26,モーター効率!$B$2:$B$122,U26),IF(V26="6極",AVERAGEIFS(モーター効率!$E$2:$E$122,モーター効率!$A$2:$A$122,T26,モーター効率!$B$2:$B$122,U26),IF(V26="8極",AVERAGEIFS(モーター効率!$F$2:$F$122,モーター効率!$A$2:$A$122,T26,モーター効率!$B$2:$B$122,U26),""))))</f>
        <v/>
      </c>
      <c r="X26" s="437" t="str">
        <f t="shared" si="1"/>
        <v/>
      </c>
      <c r="Y26" s="125">
        <v>1</v>
      </c>
      <c r="Z26" s="99" t="s">
        <v>341</v>
      </c>
      <c r="AA26" s="107">
        <f t="shared" si="9"/>
        <v>0</v>
      </c>
      <c r="AB26" s="282">
        <f t="shared" si="7"/>
        <v>0</v>
      </c>
      <c r="AC26" s="88">
        <f>IF(AB26="","",AB26*係数!$I$30)</f>
        <v>0</v>
      </c>
      <c r="AD26" s="280">
        <f>AB26*係数!$C$30*0.0000258</f>
        <v>0</v>
      </c>
      <c r="AE26" s="282">
        <f t="shared" si="2"/>
        <v>0</v>
      </c>
      <c r="AF26" s="314">
        <f t="shared" si="3"/>
        <v>0</v>
      </c>
      <c r="AG26" s="283">
        <f t="shared" si="4"/>
        <v>0</v>
      </c>
    </row>
    <row r="27" spans="1:33">
      <c r="B27" s="59" t="s">
        <v>49</v>
      </c>
      <c r="C27" s="3"/>
      <c r="D27" s="3"/>
      <c r="E27" s="51"/>
      <c r="F27" s="489"/>
      <c r="G27" s="51"/>
      <c r="H27" s="19" t="str">
        <f>IF(G27="2極",AVERAGEIFS(モーター効率!$C$2:$C$122,モーター効率!$A$2:$A$122,E27,モーター効率!$B$2:$B$122,F27),IF(G27="4極",AVERAGEIFS(モーター効率!$D$2:$D$122,モーター効率!$A$2:$A$122,E27,モーター効率!$B$2:$B$122,F27),IF(G27="6極",AVERAGEIFS(モーター効率!$E$2:$E$122,モーター効率!$A$2:$A$122,E27,モーター効率!$B$2:$B$122,F27),IF(G27="8極",AVERAGEIFS(モーター効率!$F$2:$F$122,モーター効率!$A$2:$A$122,E27,モーター効率!$B$2:$B$122,F27),""))))</f>
        <v/>
      </c>
      <c r="I27" s="437" t="str">
        <f t="shared" si="8"/>
        <v/>
      </c>
      <c r="J27" s="125">
        <v>1</v>
      </c>
      <c r="K27" s="99" t="s">
        <v>341</v>
      </c>
      <c r="L27" s="305"/>
      <c r="M27" s="305"/>
      <c r="N27" s="448">
        <f t="shared" si="5"/>
        <v>0</v>
      </c>
      <c r="O27" s="282">
        <f t="shared" si="6"/>
        <v>0</v>
      </c>
      <c r="P27" s="94">
        <f>IF(O27="","",O27*係数!$I$30)</f>
        <v>0</v>
      </c>
      <c r="Q27" s="280">
        <f>O27*係数!$C$30*0.0000258</f>
        <v>0</v>
      </c>
      <c r="R27" s="104"/>
      <c r="S27" s="3"/>
      <c r="T27" s="51"/>
      <c r="U27" s="490"/>
      <c r="V27" s="51"/>
      <c r="W27" s="19" t="str">
        <f>IF(V27="2極",AVERAGEIFS(モーター効率!$C$2:$C$122,モーター効率!$A$2:$A$122,T27,モーター効率!$B$2:$B$122,U27),IF(V27="4極",AVERAGEIFS(モーター効率!$D$2:$D$122,モーター効率!$A$2:$A$122,T27,モーター効率!$B$2:$B$122,U27),IF(V27="6極",AVERAGEIFS(モーター効率!$E$2:$E$122,モーター効率!$A$2:$A$122,T27,モーター効率!$B$2:$B$122,U27),IF(V27="8極",AVERAGEIFS(モーター効率!$F$2:$F$122,モーター効率!$A$2:$A$122,T27,モーター効率!$B$2:$B$122,U27),""))))</f>
        <v/>
      </c>
      <c r="X27" s="437" t="str">
        <f t="shared" si="1"/>
        <v/>
      </c>
      <c r="Y27" s="125">
        <v>1</v>
      </c>
      <c r="Z27" s="99" t="s">
        <v>341</v>
      </c>
      <c r="AA27" s="107">
        <f t="shared" si="9"/>
        <v>0</v>
      </c>
      <c r="AB27" s="282">
        <f t="shared" si="7"/>
        <v>0</v>
      </c>
      <c r="AC27" s="88">
        <f>IF(AB27="","",AB27*係数!$I$30)</f>
        <v>0</v>
      </c>
      <c r="AD27" s="280">
        <f>AB27*係数!$C$30*0.0000258</f>
        <v>0</v>
      </c>
      <c r="AE27" s="282">
        <f t="shared" si="2"/>
        <v>0</v>
      </c>
      <c r="AF27" s="314">
        <f t="shared" si="3"/>
        <v>0</v>
      </c>
      <c r="AG27" s="283">
        <f t="shared" si="4"/>
        <v>0</v>
      </c>
    </row>
    <row r="28" spans="1:33">
      <c r="B28" s="59" t="s">
        <v>50</v>
      </c>
      <c r="C28" s="3"/>
      <c r="D28" s="3"/>
      <c r="E28" s="51"/>
      <c r="F28" s="489"/>
      <c r="G28" s="51"/>
      <c r="H28" s="19" t="str">
        <f>IF(G28="2極",AVERAGEIFS(モーター効率!$C$2:$C$122,モーター効率!$A$2:$A$122,E28,モーター効率!$B$2:$B$122,F28),IF(G28="4極",AVERAGEIFS(モーター効率!$D$2:$D$122,モーター効率!$A$2:$A$122,E28,モーター効率!$B$2:$B$122,F28),IF(G28="6極",AVERAGEIFS(モーター効率!$E$2:$E$122,モーター効率!$A$2:$A$122,E28,モーター効率!$B$2:$B$122,F28),IF(G28="8極",AVERAGEIFS(モーター効率!$F$2:$F$122,モーター効率!$A$2:$A$122,E28,モーター効率!$B$2:$B$122,F28),""))))</f>
        <v/>
      </c>
      <c r="I28" s="437" t="str">
        <f t="shared" si="8"/>
        <v/>
      </c>
      <c r="J28" s="125">
        <v>1</v>
      </c>
      <c r="K28" s="99" t="s">
        <v>341</v>
      </c>
      <c r="L28" s="305"/>
      <c r="M28" s="305"/>
      <c r="N28" s="448">
        <f t="shared" si="5"/>
        <v>0</v>
      </c>
      <c r="O28" s="282">
        <f t="shared" si="6"/>
        <v>0</v>
      </c>
      <c r="P28" s="94">
        <f>IF(O28="","",O28*係数!$I$30)</f>
        <v>0</v>
      </c>
      <c r="Q28" s="280">
        <f>O28*係数!$C$30*0.0000258</f>
        <v>0</v>
      </c>
      <c r="R28" s="104"/>
      <c r="S28" s="3"/>
      <c r="T28" s="51"/>
      <c r="U28" s="490"/>
      <c r="V28" s="51"/>
      <c r="W28" s="19" t="str">
        <f>IF(V28="2極",AVERAGEIFS(モーター効率!$C$2:$C$122,モーター効率!$A$2:$A$122,T28,モーター効率!$B$2:$B$122,U28),IF(V28="4極",AVERAGEIFS(モーター効率!$D$2:$D$122,モーター効率!$A$2:$A$122,T28,モーター効率!$B$2:$B$122,U28),IF(V28="6極",AVERAGEIFS(モーター効率!$E$2:$E$122,モーター効率!$A$2:$A$122,T28,モーター効率!$B$2:$B$122,U28),IF(V28="8極",AVERAGEIFS(モーター効率!$F$2:$F$122,モーター効率!$A$2:$A$122,T28,モーター効率!$B$2:$B$122,U28),""))))</f>
        <v/>
      </c>
      <c r="X28" s="437" t="str">
        <f t="shared" si="1"/>
        <v/>
      </c>
      <c r="Y28" s="125">
        <v>1</v>
      </c>
      <c r="Z28" s="99" t="s">
        <v>341</v>
      </c>
      <c r="AA28" s="107">
        <f t="shared" si="9"/>
        <v>0</v>
      </c>
      <c r="AB28" s="282">
        <f t="shared" si="7"/>
        <v>0</v>
      </c>
      <c r="AC28" s="88">
        <f>IF(AB28="","",AB28*係数!$I$30)</f>
        <v>0</v>
      </c>
      <c r="AD28" s="280">
        <f>AB28*係数!$C$30*0.0000258</f>
        <v>0</v>
      </c>
      <c r="AE28" s="282">
        <f t="shared" si="2"/>
        <v>0</v>
      </c>
      <c r="AF28" s="314">
        <f t="shared" si="3"/>
        <v>0</v>
      </c>
      <c r="AG28" s="283">
        <f t="shared" si="4"/>
        <v>0</v>
      </c>
    </row>
    <row r="29" spans="1:33">
      <c r="B29" s="59" t="s">
        <v>51</v>
      </c>
      <c r="C29" s="3"/>
      <c r="D29" s="3"/>
      <c r="E29" s="51"/>
      <c r="F29" s="489"/>
      <c r="G29" s="51"/>
      <c r="H29" s="19" t="str">
        <f>IF(G29="2極",AVERAGEIFS(モーター効率!$C$2:$C$122,モーター効率!$A$2:$A$122,E29,モーター効率!$B$2:$B$122,F29),IF(G29="4極",AVERAGEIFS(モーター効率!$D$2:$D$122,モーター効率!$A$2:$A$122,E29,モーター効率!$B$2:$B$122,F29),IF(G29="6極",AVERAGEIFS(モーター効率!$E$2:$E$122,モーター効率!$A$2:$A$122,E29,モーター効率!$B$2:$B$122,F29),IF(G29="8極",AVERAGEIFS(モーター効率!$F$2:$F$122,モーター効率!$A$2:$A$122,E29,モーター効率!$B$2:$B$122,F29),""))))</f>
        <v/>
      </c>
      <c r="I29" s="437" t="str">
        <f t="shared" si="8"/>
        <v/>
      </c>
      <c r="J29" s="125">
        <v>1</v>
      </c>
      <c r="K29" s="99" t="s">
        <v>341</v>
      </c>
      <c r="L29" s="305"/>
      <c r="M29" s="305"/>
      <c r="N29" s="448">
        <f>L29*M29</f>
        <v>0</v>
      </c>
      <c r="O29" s="282">
        <f t="shared" si="6"/>
        <v>0</v>
      </c>
      <c r="P29" s="94">
        <f>IF(O29="","",O29*係数!$I$30)</f>
        <v>0</v>
      </c>
      <c r="Q29" s="280">
        <f>O29*係数!$C$30*0.0000258</f>
        <v>0</v>
      </c>
      <c r="R29" s="104"/>
      <c r="S29" s="3"/>
      <c r="T29" s="51"/>
      <c r="U29" s="490"/>
      <c r="V29" s="51"/>
      <c r="W29" s="19" t="str">
        <f>IF(V29="2極",AVERAGEIFS(モーター効率!$C$2:$C$122,モーター効率!$A$2:$A$122,T29,モーター効率!$B$2:$B$122,U29),IF(V29="4極",AVERAGEIFS(モーター効率!$D$2:$D$122,モーター効率!$A$2:$A$122,T29,モーター効率!$B$2:$B$122,U29),IF(V29="6極",AVERAGEIFS(モーター効率!$E$2:$E$122,モーター効率!$A$2:$A$122,T29,モーター効率!$B$2:$B$122,U29),IF(V29="8極",AVERAGEIFS(モーター効率!$F$2:$F$122,モーター効率!$A$2:$A$122,T29,モーター効率!$B$2:$B$122,U29),""))))</f>
        <v/>
      </c>
      <c r="X29" s="437" t="str">
        <f t="shared" si="1"/>
        <v/>
      </c>
      <c r="Y29" s="125">
        <v>1</v>
      </c>
      <c r="Z29" s="99" t="s">
        <v>341</v>
      </c>
      <c r="AA29" s="107">
        <f t="shared" si="9"/>
        <v>0</v>
      </c>
      <c r="AB29" s="282">
        <f t="shared" si="7"/>
        <v>0</v>
      </c>
      <c r="AC29" s="88">
        <f>IF(AB29="","",AB29*係数!$I$30)</f>
        <v>0</v>
      </c>
      <c r="AD29" s="280">
        <f>AB29*係数!$C$30*0.0000258</f>
        <v>0</v>
      </c>
      <c r="AE29" s="282">
        <f t="shared" si="2"/>
        <v>0</v>
      </c>
      <c r="AF29" s="314">
        <f t="shared" si="3"/>
        <v>0</v>
      </c>
      <c r="AG29" s="283">
        <f t="shared" si="4"/>
        <v>0</v>
      </c>
    </row>
    <row r="30" spans="1:33">
      <c r="G30"/>
    </row>
    <row r="31" spans="1:33" ht="30">
      <c r="A31" s="11" t="s">
        <v>896</v>
      </c>
      <c r="AC31" s="251"/>
      <c r="AD31" s="251"/>
    </row>
    <row r="35" spans="2:33">
      <c r="B35" s="254" t="str">
        <f>HYPERLINK("#", "【シートトップ】ハイパーリンク")</f>
        <v>【シートトップ】ハイパーリンク</v>
      </c>
    </row>
    <row r="36" spans="2:33">
      <c r="B36" s="660" t="s">
        <v>17</v>
      </c>
      <c r="C36" s="64" t="s">
        <v>19</v>
      </c>
      <c r="D36" s="65"/>
      <c r="E36" s="65"/>
      <c r="F36" s="276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6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6"/>
      <c r="AE36" s="64" t="s">
        <v>26</v>
      </c>
      <c r="AF36" s="65"/>
      <c r="AG36" s="66"/>
    </row>
    <row r="37" spans="2:33" ht="37.5">
      <c r="B37" s="699"/>
      <c r="C37" s="61" t="s">
        <v>833</v>
      </c>
      <c r="D37" s="61" t="s">
        <v>1083</v>
      </c>
      <c r="E37" s="61" t="s">
        <v>145</v>
      </c>
      <c r="F37" s="61" t="s">
        <v>1091</v>
      </c>
      <c r="G37" s="61" t="s">
        <v>146</v>
      </c>
      <c r="H37" s="61" t="s">
        <v>113</v>
      </c>
      <c r="I37" s="61" t="s">
        <v>1097</v>
      </c>
      <c r="J37" s="61" t="s">
        <v>92</v>
      </c>
      <c r="K37" s="61" t="s">
        <v>1169</v>
      </c>
      <c r="L37" s="61" t="s">
        <v>1076</v>
      </c>
      <c r="M37" s="61" t="s">
        <v>33</v>
      </c>
      <c r="N37" s="61" t="s">
        <v>1077</v>
      </c>
      <c r="O37" s="61" t="s">
        <v>23</v>
      </c>
      <c r="P37" s="61" t="s">
        <v>1068</v>
      </c>
      <c r="Q37" s="144" t="s">
        <v>968</v>
      </c>
      <c r="R37" s="61" t="s">
        <v>833</v>
      </c>
      <c r="S37" s="61" t="s">
        <v>1083</v>
      </c>
      <c r="T37" s="61" t="s">
        <v>145</v>
      </c>
      <c r="U37" s="61" t="s">
        <v>1091</v>
      </c>
      <c r="V37" s="61" t="s">
        <v>146</v>
      </c>
      <c r="W37" s="61" t="s">
        <v>113</v>
      </c>
      <c r="X37" s="61" t="s">
        <v>1097</v>
      </c>
      <c r="Y37" s="61" t="s">
        <v>92</v>
      </c>
      <c r="Z37" s="61" t="s">
        <v>1169</v>
      </c>
      <c r="AA37" s="61" t="s">
        <v>983</v>
      </c>
      <c r="AB37" s="61" t="s">
        <v>23</v>
      </c>
      <c r="AC37" s="61" t="s">
        <v>1068</v>
      </c>
      <c r="AD37" s="144" t="s">
        <v>968</v>
      </c>
      <c r="AE37" s="61" t="s">
        <v>1071</v>
      </c>
      <c r="AF37" s="61" t="s">
        <v>1074</v>
      </c>
      <c r="AG37" s="61" t="s">
        <v>809</v>
      </c>
    </row>
    <row r="38" spans="2:33">
      <c r="B38" s="63" t="s">
        <v>18</v>
      </c>
      <c r="C38" s="115"/>
      <c r="D38" s="38" t="s">
        <v>815</v>
      </c>
      <c r="E38" s="115"/>
      <c r="F38" s="38" t="s">
        <v>14</v>
      </c>
      <c r="G38" s="38" t="s">
        <v>816</v>
      </c>
      <c r="H38" s="38" t="s">
        <v>15</v>
      </c>
      <c r="I38" s="38" t="s">
        <v>98</v>
      </c>
      <c r="J38" s="38" t="s">
        <v>121</v>
      </c>
      <c r="K38" s="115"/>
      <c r="L38" s="38" t="s">
        <v>812</v>
      </c>
      <c r="M38" s="38" t="s">
        <v>813</v>
      </c>
      <c r="N38" s="38" t="s">
        <v>147</v>
      </c>
      <c r="O38" s="38" t="s">
        <v>16</v>
      </c>
      <c r="P38" s="61" t="s">
        <v>5</v>
      </c>
      <c r="Q38" s="145" t="s">
        <v>706</v>
      </c>
      <c r="R38" s="115"/>
      <c r="S38" s="89" t="s">
        <v>815</v>
      </c>
      <c r="T38" s="85"/>
      <c r="U38" s="89" t="s">
        <v>14</v>
      </c>
      <c r="V38" s="89" t="s">
        <v>816</v>
      </c>
      <c r="W38" s="89" t="s">
        <v>15</v>
      </c>
      <c r="X38" s="89" t="s">
        <v>98</v>
      </c>
      <c r="Y38" s="89" t="s">
        <v>121</v>
      </c>
      <c r="Z38" s="85"/>
      <c r="AA38" s="89" t="s">
        <v>147</v>
      </c>
      <c r="AB38" s="89" t="s">
        <v>16</v>
      </c>
      <c r="AC38" s="62" t="s">
        <v>5</v>
      </c>
      <c r="AD38" s="145" t="s">
        <v>706</v>
      </c>
      <c r="AE38" s="89" t="s">
        <v>16</v>
      </c>
      <c r="AF38" s="62" t="s">
        <v>5</v>
      </c>
      <c r="AG38" s="89" t="s">
        <v>706</v>
      </c>
    </row>
    <row r="39" spans="2:33">
      <c r="B39" s="96" t="s">
        <v>13</v>
      </c>
      <c r="C39" s="108"/>
      <c r="D39" s="52">
        <f>SUM(D40:D42)</f>
        <v>4</v>
      </c>
      <c r="E39" s="108"/>
      <c r="F39" s="449">
        <f>SUM(F40:F42)</f>
        <v>44.5</v>
      </c>
      <c r="G39" s="108"/>
      <c r="H39" s="108"/>
      <c r="I39" s="108"/>
      <c r="J39" s="108"/>
      <c r="K39" s="108"/>
      <c r="L39" s="238"/>
      <c r="M39" s="238"/>
      <c r="N39" s="238"/>
      <c r="O39" s="452">
        <f t="shared" ref="O39:Q39" si="10">SUM(O40:O42)</f>
        <v>39427.225222184657</v>
      </c>
      <c r="P39" s="451">
        <f t="shared" si="10"/>
        <v>17.821105800427464</v>
      </c>
      <c r="Q39" s="175">
        <f t="shared" si="10"/>
        <v>8.7888016287276258</v>
      </c>
      <c r="R39" s="50"/>
      <c r="S39" s="52">
        <f>SUM(S40:S42)</f>
        <v>5</v>
      </c>
      <c r="T39" s="108"/>
      <c r="U39" s="408">
        <f>SUM(U40:U42)</f>
        <v>44.5</v>
      </c>
      <c r="V39" s="108"/>
      <c r="W39" s="108"/>
      <c r="X39" s="108"/>
      <c r="Y39" s="108"/>
      <c r="Z39" s="108"/>
      <c r="AA39" s="238"/>
      <c r="AB39" s="452">
        <f>SUM(AB40:AB42)</f>
        <v>33729.860311931232</v>
      </c>
      <c r="AC39" s="176">
        <f>SUM(AC40:AC42)</f>
        <v>15.245896860992914</v>
      </c>
      <c r="AD39" s="175">
        <f>SUM(AD40:AD42)</f>
        <v>7.5187906218532143</v>
      </c>
      <c r="AE39" s="177">
        <f t="shared" ref="AE39:AF39" si="11">SUM(AE40:AE42)</f>
        <v>5697.3649102534273</v>
      </c>
      <c r="AF39" s="176">
        <f t="shared" si="11"/>
        <v>2.5752089394345488</v>
      </c>
      <c r="AG39" s="178">
        <f>SUM(AG40:AG42)</f>
        <v>1.2700110068744128</v>
      </c>
    </row>
    <row r="40" spans="2:33">
      <c r="B40" s="59" t="s">
        <v>42</v>
      </c>
      <c r="C40" s="201" t="s">
        <v>909</v>
      </c>
      <c r="D40" s="201">
        <v>1</v>
      </c>
      <c r="E40" s="243" t="s">
        <v>149</v>
      </c>
      <c r="F40" s="450">
        <v>22</v>
      </c>
      <c r="G40" s="243" t="s">
        <v>186</v>
      </c>
      <c r="H40" s="19">
        <f>IF(G40="2極",AVERAGEIFS(モーター効率!$C$2:$C$122,モーター効率!$A$2:$A$122,E40,モーター効率!$B$2:$B$122,F40),IF(G40="4極",AVERAGEIFS(モーター効率!$D$2:$D$122,モーター効率!$A$2:$A$122,E40,モーター効率!$B$2:$B$122,F40),IF(G40="6極",AVERAGEIFS(モーター効率!$E$2:$E$122,モーター効率!$A$2:$A$122,E40,モーター効率!$B$2:$B$122,F40),IF(G40="8極",AVERAGEIFS(モーター効率!$F$2:$F$122,モーター効率!$A$2:$A$122,E40,モーター効率!$B$2:$B$122,F40),""))))</f>
        <v>0.89900000000000002</v>
      </c>
      <c r="I40" s="437">
        <f>IF(H40="","",F40/H40)</f>
        <v>24.471635150166851</v>
      </c>
      <c r="J40" s="125">
        <v>1</v>
      </c>
      <c r="K40" s="278" t="s">
        <v>341</v>
      </c>
      <c r="L40" s="285">
        <v>2.3456000000000001</v>
      </c>
      <c r="M40" s="279">
        <v>340</v>
      </c>
      <c r="N40" s="448">
        <f t="shared" ref="N40:N42" si="12">L40*M40</f>
        <v>797.50400000000002</v>
      </c>
      <c r="O40" s="282">
        <f t="shared" ref="O40:O42" si="13">IF(OR(D40="",I40="",J40="",N40=""),0,IF(K40="○",D40*I40*J40*N40*0.9,D40*I40*J40*N40))</f>
        <v>19516.226918798664</v>
      </c>
      <c r="P40" s="94">
        <f>IF(O40="","",O40*係数!$I$30)</f>
        <v>8.8213345672969954</v>
      </c>
      <c r="Q40" s="280">
        <f>O40*係数!$C$30*0.0000258</f>
        <v>4.3504011749232481</v>
      </c>
      <c r="R40" s="281" t="s">
        <v>912</v>
      </c>
      <c r="S40" s="201">
        <v>1</v>
      </c>
      <c r="T40" s="243" t="s">
        <v>897</v>
      </c>
      <c r="U40" s="481">
        <v>22</v>
      </c>
      <c r="V40" s="243" t="s">
        <v>186</v>
      </c>
      <c r="W40" s="19">
        <f>IF(V40="2極",AVERAGEIFS(モーター効率!$C$2:$C$122,モーター効率!$A$2:$A$122,T40,モーター効率!$B$2:$B$122,U40),IF(V40="4極",AVERAGEIFS(モーター効率!$D$2:$D$122,モーター効率!$A$2:$A$122,T40,モーター効率!$B$2:$B$122,U40),IF(V40="6極",AVERAGEIFS(モーター効率!$E$2:$E$122,モーター効率!$A$2:$A$122,T40,モーター効率!$B$2:$B$122,U40),IF(V40="8極",AVERAGEIFS(モーター効率!$F$2:$F$122,モーター効率!$A$2:$A$122,T40,モーター効率!$B$2:$B$122,U40),""))))</f>
        <v>0.94499999999999995</v>
      </c>
      <c r="X40" s="94">
        <f>IF(W40="","",U40/W40)</f>
        <v>23.280423280423282</v>
      </c>
      <c r="Y40" s="125">
        <f>IF(OR(F40=0,J40=0,U40=0),"",IF(F40*D40&lt;U40*S40,F40*J40/U40,J40))</f>
        <v>1</v>
      </c>
      <c r="Z40" s="278" t="s">
        <v>197</v>
      </c>
      <c r="AA40" s="107">
        <f>IF(N40="","",N40)</f>
        <v>797.50400000000002</v>
      </c>
      <c r="AB40" s="282">
        <f t="shared" ref="AB40:AB42" si="14">IF(OR(S40="",X40="",Y40="",AA40=""),0,IF(Z40="○",S40*X40*Y40*AA40*0.9,S40*X40*Y40*AA40))</f>
        <v>16709.60761904762</v>
      </c>
      <c r="AC40" s="88">
        <f>IF(AB40="","",AB40*係数!$I$30)</f>
        <v>7.5527426438095242</v>
      </c>
      <c r="AD40" s="280">
        <f>AB40*係数!$C$30*0.0000258</f>
        <v>3.7247720535771429</v>
      </c>
      <c r="AE40" s="282">
        <f>IF(OR(O40="",AB40=""),"",O40-AB40)</f>
        <v>2806.6192997510443</v>
      </c>
      <c r="AF40" s="314">
        <f t="shared" ref="AF40:AG42" si="15">P40-AC40</f>
        <v>1.2685919234874712</v>
      </c>
      <c r="AG40" s="283">
        <f t="shared" si="15"/>
        <v>0.62562912134610515</v>
      </c>
    </row>
    <row r="41" spans="2:33">
      <c r="B41" s="59" t="s">
        <v>43</v>
      </c>
      <c r="C41" s="201" t="s">
        <v>910</v>
      </c>
      <c r="D41" s="201">
        <v>1</v>
      </c>
      <c r="E41" s="243" t="s">
        <v>148</v>
      </c>
      <c r="F41" s="450">
        <v>15</v>
      </c>
      <c r="G41" s="243" t="s">
        <v>898</v>
      </c>
      <c r="H41" s="19">
        <f>IF(G41="2極",AVERAGEIFS(モーター効率!$C$2:$C$122,モーター効率!$A$2:$A$122,E41,モーター効率!$B$2:$B$122,F41),IF(G41="4極",AVERAGEIFS(モーター効率!$D$2:$D$122,モーター効率!$A$2:$A$122,E41,モーター効率!$B$2:$B$122,F41),IF(G41="6極",AVERAGEIFS(モーター効率!$E$2:$E$122,モーター効率!$A$2:$A$122,E41,モーター効率!$B$2:$B$122,F41),IF(G41="8極",AVERAGEIFS(モーター効率!$F$2:$F$122,モーター効率!$A$2:$A$122,E41,モーター効率!$B$2:$B$122,F41),""))))</f>
        <v>0.91900000000000004</v>
      </c>
      <c r="I41" s="437">
        <f>IF(H41="","",F41/H41)</f>
        <v>16.32208922742111</v>
      </c>
      <c r="J41" s="125">
        <v>1</v>
      </c>
      <c r="K41" s="286" t="s">
        <v>341</v>
      </c>
      <c r="L41" s="287">
        <v>0.66</v>
      </c>
      <c r="M41" s="284">
        <v>200</v>
      </c>
      <c r="N41" s="448">
        <f t="shared" si="12"/>
        <v>132</v>
      </c>
      <c r="O41" s="282">
        <f t="shared" si="13"/>
        <v>2154.5157780195864</v>
      </c>
      <c r="P41" s="94">
        <f>IF(O41="","",O41*係数!$I$30)</f>
        <v>0.97384113166485298</v>
      </c>
      <c r="Q41" s="280">
        <f>O41*係数!$C$30*0.0000258</f>
        <v>0.48026742110990212</v>
      </c>
      <c r="R41" s="281" t="s">
        <v>913</v>
      </c>
      <c r="S41" s="201">
        <v>2</v>
      </c>
      <c r="T41" s="243" t="s">
        <v>897</v>
      </c>
      <c r="U41" s="481">
        <v>7.5</v>
      </c>
      <c r="V41" s="243" t="s">
        <v>186</v>
      </c>
      <c r="W41" s="19">
        <f>IF(V41="2極",AVERAGEIFS(モーター効率!$C$2:$C$122,モーター効率!$A$2:$A$122,T41,モーター効率!$B$2:$B$122,U41),IF(V41="4極",AVERAGEIFS(モーター効率!$D$2:$D$122,モーター効率!$A$2:$A$122,T41,モーター効率!$B$2:$B$122,U41),IF(V41="6極",AVERAGEIFS(モーター効率!$E$2:$E$122,モーター効率!$A$2:$A$122,T41,モーター効率!$B$2:$B$122,U41),IF(V41="8極",AVERAGEIFS(モーター効率!$F$2:$F$122,モーター効率!$A$2:$A$122,T41,モーター効率!$B$2:$B$122,U41),""))))</f>
        <v>0.92599999999999993</v>
      </c>
      <c r="X41" s="94">
        <f t="shared" ref="X41:X42" si="16">IF(W41="","",U41/W41)</f>
        <v>8.0993520518358544</v>
      </c>
      <c r="Y41" s="125">
        <f>IF(OR(F41=0,J41=0,U41=0),"",IF(F41*D41&lt;U41*S41,F41*J41/U41,J41))</f>
        <v>1</v>
      </c>
      <c r="Z41" s="286" t="s">
        <v>197</v>
      </c>
      <c r="AA41" s="107">
        <f>IF(N41="","",N41)</f>
        <v>132</v>
      </c>
      <c r="AB41" s="282">
        <f t="shared" si="14"/>
        <v>1924.4060475161991</v>
      </c>
      <c r="AC41" s="88">
        <f>IF(AB41="","",AB41*係数!$I$30)</f>
        <v>0.86983153347732201</v>
      </c>
      <c r="AD41" s="280">
        <f>AB41*係数!$C$30*0.0000258</f>
        <v>0.42897320086393104</v>
      </c>
      <c r="AE41" s="282">
        <f>IF(OR(O41="",AB41=""),"",O41-AB41)</f>
        <v>230.10973050338725</v>
      </c>
      <c r="AF41" s="314">
        <f t="shared" si="15"/>
        <v>0.10400959818753097</v>
      </c>
      <c r="AG41" s="283">
        <f t="shared" si="15"/>
        <v>5.1294220245971078E-2</v>
      </c>
    </row>
    <row r="42" spans="2:33">
      <c r="B42" s="59" t="s">
        <v>44</v>
      </c>
      <c r="C42" s="201" t="s">
        <v>911</v>
      </c>
      <c r="D42" s="201">
        <v>2</v>
      </c>
      <c r="E42" s="243" t="s">
        <v>329</v>
      </c>
      <c r="F42" s="450">
        <v>7.5</v>
      </c>
      <c r="G42" s="243" t="s">
        <v>186</v>
      </c>
      <c r="H42" s="19">
        <f>IF(G42="2極",AVERAGEIFS(モーター効率!$C$2:$C$122,モーター効率!$A$2:$A$122,E42,モーター効率!$B$2:$B$122,F42),IF(G42="4極",AVERAGEIFS(モーター効率!$D$2:$D$122,モーター効率!$A$2:$A$122,E42,モーター効率!$B$2:$B$122,F42),IF(G42="6極",AVERAGEIFS(モーター効率!$E$2:$E$122,モーター効率!$A$2:$A$122,E42,モーター効率!$B$2:$B$122,F42),IF(G42="8極",AVERAGEIFS(モーター効率!$F$2:$F$122,モーター効率!$A$2:$A$122,E42,モーター効率!$B$2:$B$122,F42),""))))</f>
        <v>0.88700000000000001</v>
      </c>
      <c r="I42" s="437">
        <f t="shared" ref="I42" si="17">IF(H42="","",F42/H42)</f>
        <v>8.4554678692220975</v>
      </c>
      <c r="J42" s="125">
        <v>1</v>
      </c>
      <c r="K42" s="286" t="s">
        <v>341</v>
      </c>
      <c r="L42" s="287">
        <v>3</v>
      </c>
      <c r="M42" s="284">
        <v>350</v>
      </c>
      <c r="N42" s="448">
        <f t="shared" si="12"/>
        <v>1050</v>
      </c>
      <c r="O42" s="282">
        <f t="shared" si="13"/>
        <v>17756.482525366406</v>
      </c>
      <c r="P42" s="94">
        <f>IF(O42="","",O42*係数!$I$30)</f>
        <v>8.0259301014656153</v>
      </c>
      <c r="Q42" s="280">
        <f>O42*係数!$C$30*0.0000258</f>
        <v>3.9581330326944766</v>
      </c>
      <c r="R42" s="281" t="s">
        <v>914</v>
      </c>
      <c r="S42" s="201">
        <v>2</v>
      </c>
      <c r="T42" s="243" t="s">
        <v>897</v>
      </c>
      <c r="U42" s="481">
        <v>15</v>
      </c>
      <c r="V42" s="243" t="s">
        <v>186</v>
      </c>
      <c r="W42" s="19">
        <f>IF(V42="2極",AVERAGEIFS(モーター効率!$C$2:$C$122,モーター効率!$A$2:$A$122,T42,モーター効率!$B$2:$B$122,U42),IF(V42="4極",AVERAGEIFS(モーター効率!$D$2:$D$122,モーター効率!$A$2:$A$122,T42,モーター効率!$B$2:$B$122,U42),IF(V42="6極",AVERAGEIFS(モーター効率!$E$2:$E$122,モーター効率!$A$2:$A$122,T42,モーター効率!$B$2:$B$122,U42),IF(V42="8極",AVERAGEIFS(モーター効率!$F$2:$F$122,モーター効率!$A$2:$A$122,T42,モーター効率!$B$2:$B$122,U42),""))))</f>
        <v>0.93900000000000006</v>
      </c>
      <c r="X42" s="94">
        <f t="shared" si="16"/>
        <v>15.974440894568689</v>
      </c>
      <c r="Y42" s="125">
        <f>IF(OR(F42=0,J42=0,U42=0),"",IF(F42*D42&lt;U42*S42,F42*J42/U42,J42))</f>
        <v>0.5</v>
      </c>
      <c r="Z42" s="286" t="s">
        <v>197</v>
      </c>
      <c r="AA42" s="107">
        <f t="shared" ref="AA42" si="18">IF(N42="","",N42)</f>
        <v>1050</v>
      </c>
      <c r="AB42" s="282">
        <f t="shared" si="14"/>
        <v>15095.84664536741</v>
      </c>
      <c r="AC42" s="88">
        <f>IF(AB42="","",AB42*係数!$I$30)</f>
        <v>6.8233226837060688</v>
      </c>
      <c r="AD42" s="280">
        <f>AB42*係数!$C$30*0.0000258</f>
        <v>3.3650453674121401</v>
      </c>
      <c r="AE42" s="282">
        <f>IF(OR(O42="",AB42=""),"",O42-AB42)</f>
        <v>2660.6358799989957</v>
      </c>
      <c r="AF42" s="314">
        <f t="shared" si="15"/>
        <v>1.2026074177595465</v>
      </c>
      <c r="AG42" s="283">
        <f t="shared" si="15"/>
        <v>0.59308766528233647</v>
      </c>
    </row>
  </sheetData>
  <sheetProtection algorithmName="SHA-512" hashValue="eMV0tipsT2nRGcQucbBXX5sbKIj00FzFVzrDp1y221R1ZxUATN15RRmUwu9mFeF+mct/JnsKbxU6GIoOYiYWAQ==" saltValue="4V49hBBc8DHD7/TZC03gQQ==" spinCount="100000" sheet="1" objects="1" formatCells="0" formatColumns="0" formatRows="0"/>
  <mergeCells count="12">
    <mergeCell ref="B36:B37"/>
    <mergeCell ref="L3:U3"/>
    <mergeCell ref="L4:U4"/>
    <mergeCell ref="B16:B17"/>
    <mergeCell ref="L6:U6"/>
    <mergeCell ref="M7:U7"/>
    <mergeCell ref="B4:C4"/>
    <mergeCell ref="B5:C5"/>
    <mergeCell ref="B6:C6"/>
    <mergeCell ref="B7:C7"/>
    <mergeCell ref="Q10:X10"/>
    <mergeCell ref="Q11:X11"/>
  </mergeCells>
  <phoneticPr fontId="8"/>
  <conditionalFormatting sqref="E7:F7">
    <cfRule type="expression" dxfId="50" priority="6">
      <formula>$E$1="なし"</formula>
    </cfRule>
  </conditionalFormatting>
  <conditionalFormatting sqref="H7">
    <cfRule type="expression" dxfId="49" priority="9">
      <formula>$E$1="なし"</formula>
    </cfRule>
  </conditionalFormatting>
  <conditionalFormatting sqref="J4:J7">
    <cfRule type="expression" dxfId="48" priority="8">
      <formula>$E$1="なし"</formula>
    </cfRule>
  </conditionalFormatting>
  <conditionalFormatting sqref="M7:U7">
    <cfRule type="cellIs" dxfId="47" priority="4" operator="notEqual">
      <formula>"ー"</formula>
    </cfRule>
  </conditionalFormatting>
  <conditionalFormatting sqref="AC20:AC29">
    <cfRule type="expression" dxfId="46" priority="12">
      <formula>#REF!="なし"</formula>
    </cfRule>
  </conditionalFormatting>
  <conditionalFormatting sqref="AC40:AC42">
    <cfRule type="expression" dxfId="45" priority="2">
      <formula>#REF!="なし"</formula>
    </cfRule>
  </conditionalFormatting>
  <dataValidations count="5">
    <dataValidation type="list" allowBlank="1" showInputMessage="1" showErrorMessage="1" sqref="T20:T29 T40:T42 E40:E42 E20:E29" xr:uid="{00000000-0002-0000-0500-000000000000}">
      <formula1>"IE1,IE2,IE3,IE4"</formula1>
    </dataValidation>
    <dataValidation type="list" allowBlank="1" showInputMessage="1" showErrorMessage="1" sqref="U40:U42" xr:uid="{00000000-0002-0000-0500-000001000000}">
      <formula1>INDIRECT("range"&amp;T40)</formula1>
    </dataValidation>
    <dataValidation type="list" errorStyle="warning" allowBlank="1" showInputMessage="1" showErrorMessage="1" errorTitle="プルダウンにない出力のモーターの場合" error="手入力の上、根拠となる資料を別途提出してください。" sqref="F40:F42" xr:uid="{00000000-0002-0000-0500-000002000000}">
      <formula1>INDIRECT("range"&amp;E40)</formula1>
    </dataValidation>
    <dataValidation type="list" allowBlank="1" showInputMessage="1" showErrorMessage="1" sqref="K40:K42 Z20:Z29 Z40:Z42 K20:K29" xr:uid="{00000000-0002-0000-0500-000003000000}">
      <formula1>"ー,○"</formula1>
    </dataValidation>
    <dataValidation errorStyle="warning" allowBlank="1" showInputMessage="1" showErrorMessage="1" errorTitle="プルダウンにない出力のモーターの場合" error="手入力の上、根拠となる資料を別途提出してください。" sqref="F20:F29" xr:uid="{02EF834A-F6AC-4C7E-B774-D374B826F65B}"/>
  </dataValidations>
  <hyperlinks>
    <hyperlink ref="Q11" location="search" display="https://sii.or.jp/setsubi07r/search/maker?tab=maker&amp;category=industrial_motor#search" xr:uid="{5F28D390-C2AF-40A6-AD51-5E56C7854D04}"/>
    <hyperlink ref="Q10" display="https://www.enecho.meti.go.jp/category/saving_and_new/saving/enterprise/equipment/" xr:uid="{57626AFF-B26B-470B-942E-83BBF6BB151B}"/>
  </hyperlinks>
  <pageMargins left="0.70866141732283472" right="0.70866141732283472" top="0.74803149606299213" bottom="0.74803149606299213" header="0.31496062992125984" footer="0.31496062992125984"/>
  <pageSetup paperSize="8" scale="57" fitToHeight="0" orientation="landscape" r:id="rId1"/>
  <colBreaks count="1" manualBreakCount="1">
    <brk id="17" max="28" man="1"/>
  </colBreaks>
  <ignoredErrors>
    <ignoredError sqref="T19 V19:Z19" 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00000000-0002-0000-0500-000004000000}">
          <x14:formula1>
            <xm:f>IF($E$20="IE4",モーター効率!$C$1:$F$1,モーター効率!$C$1:$E$1)</xm:f>
          </x14:formula1>
          <xm:sqref>G20 G40</xm:sqref>
        </x14:dataValidation>
        <x14:dataValidation type="list" allowBlank="1" showInputMessage="1" showErrorMessage="1" xr:uid="{00000000-0002-0000-0500-000005000000}">
          <x14:formula1>
            <xm:f>IF($E$21="IE4",モーター効率!$C$1:$F$1,モーター効率!$C$1:$E$1)</xm:f>
          </x14:formula1>
          <xm:sqref>G21 G41</xm:sqref>
        </x14:dataValidation>
        <x14:dataValidation type="list" allowBlank="1" showInputMessage="1" showErrorMessage="1" xr:uid="{00000000-0002-0000-0500-000006000000}">
          <x14:formula1>
            <xm:f>IF($E$22="IE4",モーター効率!$C$1:$F$1,モーター効率!$C$1:$E$1)</xm:f>
          </x14:formula1>
          <xm:sqref>G22 G42</xm:sqref>
        </x14:dataValidation>
        <x14:dataValidation type="list" allowBlank="1" showInputMessage="1" showErrorMessage="1" xr:uid="{00000000-0002-0000-0500-000007000000}">
          <x14:formula1>
            <xm:f>IF($E$23="IE4",モーター効率!$C$1:$F$1,モーター効率!$C$1:$E$1)</xm:f>
          </x14:formula1>
          <xm:sqref>G23</xm:sqref>
        </x14:dataValidation>
        <x14:dataValidation type="list" allowBlank="1" showInputMessage="1" showErrorMessage="1" xr:uid="{00000000-0002-0000-0500-000008000000}">
          <x14:formula1>
            <xm:f>IF($E$24="IE4",モーター効率!$C$1:$F$1,モーター効率!$C$1:$E$1)</xm:f>
          </x14:formula1>
          <xm:sqref>G24</xm:sqref>
        </x14:dataValidation>
        <x14:dataValidation type="list" allowBlank="1" showInputMessage="1" showErrorMessage="1" xr:uid="{00000000-0002-0000-0500-000009000000}">
          <x14:formula1>
            <xm:f>IF($E$25="IE4",モーター効率!$C$1:$F$1,モーター効率!$C$1:$E$1)</xm:f>
          </x14:formula1>
          <xm:sqref>G25</xm:sqref>
        </x14:dataValidation>
        <x14:dataValidation type="list" allowBlank="1" showInputMessage="1" showErrorMessage="1" xr:uid="{00000000-0002-0000-0500-00000A000000}">
          <x14:formula1>
            <xm:f>IF($E$26="IE4",モーター効率!$C$1:$F$1,モーター効率!$C$1:$E$1)</xm:f>
          </x14:formula1>
          <xm:sqref>G26</xm:sqref>
        </x14:dataValidation>
        <x14:dataValidation type="list" allowBlank="1" showInputMessage="1" showErrorMessage="1" xr:uid="{00000000-0002-0000-0500-00000B000000}">
          <x14:formula1>
            <xm:f>IF($E$27="IE4",モーター効率!$C$1:$F$1,モーター効率!$C$1:$E$1)</xm:f>
          </x14:formula1>
          <xm:sqref>G27</xm:sqref>
        </x14:dataValidation>
        <x14:dataValidation type="list" allowBlank="1" showInputMessage="1" showErrorMessage="1" xr:uid="{00000000-0002-0000-0500-00000C000000}">
          <x14:formula1>
            <xm:f>IF($E$28="IE4",モーター効率!$C$1:$F$1,モーター効率!$C$1:$E$1)</xm:f>
          </x14:formula1>
          <xm:sqref>G28</xm:sqref>
        </x14:dataValidation>
        <x14:dataValidation type="list" allowBlank="1" showInputMessage="1" showErrorMessage="1" xr:uid="{00000000-0002-0000-0500-00000D000000}">
          <x14:formula1>
            <xm:f>IF($E$29="IE4",モーター効率!$C$1:$F$1,モーター効率!$C$1:$E$1)</xm:f>
          </x14:formula1>
          <xm:sqref>G29</xm:sqref>
        </x14:dataValidation>
        <x14:dataValidation type="list" allowBlank="1" showInputMessage="1" showErrorMessage="1" xr:uid="{00000000-0002-0000-0500-00000E000000}">
          <x14:formula1>
            <xm:f>IF($T$21="IE4",モーター効率!$C$1:$F$1,モーター効率!$C$1:$E$1)</xm:f>
          </x14:formula1>
          <xm:sqref>V21 V41</xm:sqref>
        </x14:dataValidation>
        <x14:dataValidation type="list" allowBlank="1" showInputMessage="1" showErrorMessage="1" xr:uid="{00000000-0002-0000-0500-00000F000000}">
          <x14:formula1>
            <xm:f>IF($T$22="IE4",モーター効率!$C$1:$F$1,モーター効率!$C$1:$E$1)</xm:f>
          </x14:formula1>
          <xm:sqref>V22 V42</xm:sqref>
        </x14:dataValidation>
        <x14:dataValidation type="list" allowBlank="1" showInputMessage="1" showErrorMessage="1" xr:uid="{00000000-0002-0000-0500-000010000000}">
          <x14:formula1>
            <xm:f>IF($T$23="IE4",モーター効率!$C$1:$F$1,モーター効率!$C$1:$E$1)</xm:f>
          </x14:formula1>
          <xm:sqref>V23</xm:sqref>
        </x14:dataValidation>
        <x14:dataValidation type="list" allowBlank="1" showInputMessage="1" showErrorMessage="1" xr:uid="{00000000-0002-0000-0500-000011000000}">
          <x14:formula1>
            <xm:f>IF($T$24="IE4",モーター効率!$C$1:$F$1,モーター効率!$C$1:$E$1)</xm:f>
          </x14:formula1>
          <xm:sqref>V24</xm:sqref>
        </x14:dataValidation>
        <x14:dataValidation type="list" allowBlank="1" showInputMessage="1" showErrorMessage="1" xr:uid="{00000000-0002-0000-0500-000012000000}">
          <x14:formula1>
            <xm:f>IF($T$25="IE4",モーター効率!$C$1:$F$1,モーター効率!$C$1:$E$1)</xm:f>
          </x14:formula1>
          <xm:sqref>V25</xm:sqref>
        </x14:dataValidation>
        <x14:dataValidation type="list" allowBlank="1" showInputMessage="1" showErrorMessage="1" xr:uid="{00000000-0002-0000-0500-000013000000}">
          <x14:formula1>
            <xm:f>IF($T$26="IE4",モーター効率!$C$1:$F$1,モーター効率!$C$1:$E$1)</xm:f>
          </x14:formula1>
          <xm:sqref>V26</xm:sqref>
        </x14:dataValidation>
        <x14:dataValidation type="list" allowBlank="1" showInputMessage="1" showErrorMessage="1" xr:uid="{00000000-0002-0000-0500-000014000000}">
          <x14:formula1>
            <xm:f>IF($T$27="IE4",モーター効率!$C$1:$F$1,モーター効率!$C$1:$E$1)</xm:f>
          </x14:formula1>
          <xm:sqref>V27</xm:sqref>
        </x14:dataValidation>
        <x14:dataValidation type="list" allowBlank="1" showInputMessage="1" showErrorMessage="1" xr:uid="{00000000-0002-0000-0500-000015000000}">
          <x14:formula1>
            <xm:f>IF($T$28="IE4",モーター効率!$C$1:$F$1,モーター効率!$C$1:$E$1)</xm:f>
          </x14:formula1>
          <xm:sqref>V28</xm:sqref>
        </x14:dataValidation>
        <x14:dataValidation type="list" allowBlank="1" showInputMessage="1" showErrorMessage="1" xr:uid="{00000000-0002-0000-0500-000016000000}">
          <x14:formula1>
            <xm:f>IF($T$29="IE4",モーター効率!$C$1:$F$1,モーター効率!$C$1:$E$1)</xm:f>
          </x14:formula1>
          <xm:sqref>V29</xm:sqref>
        </x14:dataValidation>
        <x14:dataValidation type="list" allowBlank="1" showInputMessage="1" showErrorMessage="1" xr:uid="{00000000-0002-0000-0500-000017000000}">
          <x14:formula1>
            <xm:f>IF($T$20="IE4",モーター効率!$C$1:$F$1,モーター効率!$C$1:$E$1)</xm:f>
          </x14:formula1>
          <xm:sqref>V20 V40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C57"/>
  <sheetViews>
    <sheetView zoomScale="85" zoomScaleNormal="85" workbookViewId="0">
      <selection activeCell="L24" sqref="L24"/>
    </sheetView>
  </sheetViews>
  <sheetFormatPr defaultRowHeight="18.75"/>
  <cols>
    <col min="1" max="1" width="3.625" customWidth="1"/>
    <col min="2" max="2" width="10.125" customWidth="1"/>
    <col min="3" max="3" width="15.625" customWidth="1"/>
    <col min="4" max="5" width="9.125" customWidth="1"/>
    <col min="6" max="6" width="12.5" customWidth="1"/>
    <col min="7" max="8" width="9.125" customWidth="1"/>
    <col min="9" max="9" width="9.125" hidden="1" customWidth="1"/>
    <col min="10" max="13" width="9.125" customWidth="1"/>
    <col min="14" max="14" width="10.25" customWidth="1"/>
    <col min="15" max="15" width="9.625" customWidth="1"/>
    <col min="16" max="16" width="15.625" customWidth="1"/>
    <col min="17" max="18" width="9.125" customWidth="1"/>
    <col min="19" max="19" width="12.5" customWidth="1"/>
    <col min="20" max="21" width="10.125" customWidth="1"/>
    <col min="22" max="22" width="10.125" hidden="1" customWidth="1"/>
    <col min="23" max="29" width="10.125" customWidth="1"/>
  </cols>
  <sheetData>
    <row r="1" spans="1:26" ht="30">
      <c r="A1" s="11" t="str">
        <f>照明!A1</f>
        <v>令和8年度：排出量削減効果算定シート</v>
      </c>
      <c r="I1" s="110"/>
      <c r="J1" s="110"/>
      <c r="N1" s="74"/>
      <c r="O1" s="74"/>
    </row>
    <row r="2" spans="1:26" ht="30">
      <c r="A2" s="11" t="s">
        <v>150</v>
      </c>
    </row>
    <row r="3" spans="1:26" ht="22.7" customHeight="1">
      <c r="B3" s="126" t="s">
        <v>837</v>
      </c>
      <c r="J3" s="37"/>
      <c r="K3" s="662" t="str">
        <f>IF(OR(K7="",K7="なし"),"特記事項","特記事項（記載必須）")</f>
        <v>特記事項</v>
      </c>
      <c r="L3" s="662"/>
      <c r="M3" s="662"/>
      <c r="N3" s="662"/>
      <c r="O3" s="662"/>
      <c r="P3" s="662"/>
      <c r="Q3" s="662"/>
      <c r="R3" s="662"/>
      <c r="S3" s="662"/>
      <c r="T3" s="662"/>
      <c r="X3" s="37"/>
    </row>
    <row r="4" spans="1:26" ht="22.7" customHeight="1">
      <c r="B4" s="667" t="s">
        <v>17</v>
      </c>
      <c r="C4" s="668"/>
      <c r="D4" s="38" t="s">
        <v>18</v>
      </c>
      <c r="E4" s="38" t="s">
        <v>19</v>
      </c>
      <c r="F4" s="38" t="s">
        <v>20</v>
      </c>
      <c r="G4" s="38" t="s">
        <v>21</v>
      </c>
      <c r="J4" s="288"/>
      <c r="K4" s="704" t="s">
        <v>904</v>
      </c>
      <c r="L4" s="704"/>
      <c r="M4" s="704"/>
      <c r="N4" s="704"/>
      <c r="O4" s="704"/>
      <c r="P4" s="704"/>
      <c r="Q4" s="704"/>
      <c r="R4" s="704"/>
      <c r="S4" s="704"/>
      <c r="T4" s="704"/>
      <c r="X4" s="217"/>
    </row>
    <row r="5" spans="1:26" ht="22.7" customHeight="1">
      <c r="B5" s="669" t="s">
        <v>23</v>
      </c>
      <c r="C5" s="670"/>
      <c r="D5" s="38" t="s">
        <v>16</v>
      </c>
      <c r="E5" s="141">
        <f>M20</f>
        <v>0</v>
      </c>
      <c r="F5" s="141">
        <f>X20</f>
        <v>0</v>
      </c>
      <c r="G5" s="289">
        <f>AA20</f>
        <v>0</v>
      </c>
      <c r="J5" s="290"/>
      <c r="K5" s="291"/>
      <c r="L5" s="291"/>
      <c r="P5" s="217"/>
      <c r="Q5" s="217"/>
      <c r="R5" s="217"/>
      <c r="S5" s="217"/>
      <c r="T5" s="217"/>
      <c r="U5" s="217"/>
      <c r="V5" s="217"/>
      <c r="W5" s="217"/>
      <c r="X5" s="217"/>
    </row>
    <row r="6" spans="1:26" ht="22.7" customHeight="1">
      <c r="B6" s="669" t="s">
        <v>1</v>
      </c>
      <c r="C6" s="670"/>
      <c r="D6" s="61" t="s">
        <v>5</v>
      </c>
      <c r="E6" s="292">
        <f>N20</f>
        <v>0</v>
      </c>
      <c r="F6" s="292">
        <f>Y20</f>
        <v>0</v>
      </c>
      <c r="G6" s="313">
        <f>ROUND(AB20,1)</f>
        <v>0</v>
      </c>
      <c r="J6" s="149"/>
      <c r="K6" s="664" t="s">
        <v>335</v>
      </c>
      <c r="L6" s="664"/>
      <c r="M6" s="664"/>
      <c r="N6" s="664"/>
      <c r="O6" s="664"/>
      <c r="P6" s="664"/>
      <c r="Q6" s="664"/>
      <c r="R6" s="664"/>
      <c r="S6" s="664"/>
      <c r="T6" s="664"/>
    </row>
    <row r="7" spans="1:26" ht="28.5" customHeight="1">
      <c r="B7" s="671" t="s">
        <v>969</v>
      </c>
      <c r="C7" s="672"/>
      <c r="D7" s="38" t="s">
        <v>24</v>
      </c>
      <c r="E7" s="49">
        <f>O20</f>
        <v>0</v>
      </c>
      <c r="F7" s="49">
        <f>Z20</f>
        <v>0</v>
      </c>
      <c r="G7" s="152">
        <f>ROUND(AC20,1)</f>
        <v>0</v>
      </c>
      <c r="K7" s="5" t="str">
        <f>IF(OR(D20=0,Q20=0),"",IF(D20=Q20,"増減なし",IF(D20&gt;Q20,"減少","増加")))</f>
        <v/>
      </c>
      <c r="L7" s="665" t="str">
        <f>IF(OR(K7="",K7="増減なし"),"ー",IF(K7="減少","減少する理由を特記事項欄に記載してください。","やむを得ず増加する場合は特記事項欄に理由を記載してください。(要根拠資料提出)"))</f>
        <v>ー</v>
      </c>
      <c r="M7" s="665"/>
      <c r="N7" s="665"/>
      <c r="O7" s="665"/>
      <c r="P7" s="665"/>
      <c r="Q7" s="665"/>
      <c r="R7" s="665"/>
      <c r="S7" s="665"/>
      <c r="T7" s="665"/>
    </row>
    <row r="8" spans="1:26" ht="18.600000000000001" customHeight="1">
      <c r="B8" s="221" t="s">
        <v>916</v>
      </c>
      <c r="K8" s="216"/>
      <c r="L8" s="216"/>
      <c r="N8" s="216"/>
      <c r="O8" s="216"/>
      <c r="P8" s="216"/>
    </row>
    <row r="9" spans="1:26" ht="18.600000000000001" customHeight="1" thickBot="1">
      <c r="P9" s="216"/>
      <c r="Q9" s="216"/>
      <c r="S9" s="216"/>
      <c r="T9" s="216"/>
      <c r="U9" s="216"/>
    </row>
    <row r="10" spans="1:26">
      <c r="K10" s="222" t="s">
        <v>830</v>
      </c>
      <c r="L10" s="223"/>
      <c r="M10" s="224"/>
      <c r="N10" s="136"/>
      <c r="O10" s="223"/>
      <c r="P10" s="223"/>
      <c r="Q10" s="223"/>
      <c r="R10" s="756" t="s">
        <v>821</v>
      </c>
      <c r="S10" s="745"/>
      <c r="T10" s="745"/>
      <c r="U10" s="745"/>
      <c r="V10" s="745"/>
      <c r="W10" s="745"/>
      <c r="X10" s="745"/>
      <c r="Y10" s="745"/>
      <c r="Z10" s="746"/>
    </row>
    <row r="11" spans="1:26">
      <c r="K11" s="320" t="s">
        <v>831</v>
      </c>
      <c r="L11" s="310"/>
      <c r="M11" s="310"/>
      <c r="N11" s="309"/>
      <c r="O11" s="310"/>
      <c r="P11" s="310"/>
      <c r="Q11" s="310"/>
      <c r="R11" s="757" t="s">
        <v>1156</v>
      </c>
      <c r="S11" s="748"/>
      <c r="T11" s="748"/>
      <c r="U11" s="748"/>
      <c r="V11" s="748"/>
      <c r="W11" s="748"/>
      <c r="X11" s="748"/>
      <c r="Y11" s="748"/>
      <c r="Z11" s="749"/>
    </row>
    <row r="12" spans="1:26" ht="19.5" thickBot="1">
      <c r="K12" s="226" t="s">
        <v>1166</v>
      </c>
      <c r="L12" s="258"/>
      <c r="M12" s="258"/>
      <c r="N12" s="143"/>
      <c r="O12" s="258"/>
      <c r="P12" s="258"/>
      <c r="Q12" s="258"/>
      <c r="R12" s="758" t="s">
        <v>1165</v>
      </c>
      <c r="S12" s="751"/>
      <c r="T12" s="751"/>
      <c r="U12" s="751"/>
      <c r="V12" s="751"/>
      <c r="W12" s="751"/>
      <c r="X12" s="751"/>
      <c r="Y12" s="751"/>
      <c r="Z12" s="752"/>
    </row>
    <row r="13" spans="1:26" ht="18.600000000000001" customHeight="1">
      <c r="P13" s="216"/>
      <c r="Q13" s="216"/>
      <c r="S13" s="216"/>
      <c r="T13" s="216"/>
      <c r="U13" s="216"/>
    </row>
    <row r="14" spans="1:26" ht="17.45" customHeight="1">
      <c r="N14" s="216"/>
      <c r="O14" s="216"/>
      <c r="P14" s="216"/>
    </row>
    <row r="15" spans="1:26">
      <c r="B15" s="31"/>
      <c r="N15" s="216"/>
      <c r="O15" s="216"/>
      <c r="P15" s="216"/>
    </row>
    <row r="16" spans="1:26">
      <c r="B16" s="229" t="str">
        <f>HYPERLINK("#", "【記入例：B37】ハイパーリンク")</f>
        <v>【記入例：B37】ハイパーリンク</v>
      </c>
      <c r="P16" s="31"/>
    </row>
    <row r="17" spans="1:29">
      <c r="B17" s="666" t="s">
        <v>17</v>
      </c>
      <c r="C17" s="64" t="s">
        <v>19</v>
      </c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6"/>
      <c r="P17" s="64" t="s">
        <v>20</v>
      </c>
      <c r="Q17" s="65"/>
      <c r="R17" s="65"/>
      <c r="S17" s="65"/>
      <c r="T17" s="65"/>
      <c r="U17" s="65"/>
      <c r="V17" s="65"/>
      <c r="W17" s="65"/>
      <c r="X17" s="65"/>
      <c r="Y17" s="65"/>
      <c r="Z17" s="66"/>
      <c r="AA17" s="198" t="s">
        <v>26</v>
      </c>
      <c r="AB17" s="198"/>
      <c r="AC17" s="198"/>
    </row>
    <row r="18" spans="1:29" s="15" customFormat="1" ht="37.5">
      <c r="B18" s="661"/>
      <c r="C18" s="293" t="s">
        <v>858</v>
      </c>
      <c r="D18" s="293" t="s">
        <v>151</v>
      </c>
      <c r="E18" s="293" t="s">
        <v>840</v>
      </c>
      <c r="F18" s="293" t="s">
        <v>839</v>
      </c>
      <c r="G18" s="293" t="s">
        <v>1092</v>
      </c>
      <c r="H18" s="293" t="s">
        <v>1094</v>
      </c>
      <c r="I18" s="293" t="s">
        <v>92</v>
      </c>
      <c r="J18" s="293" t="s">
        <v>702</v>
      </c>
      <c r="K18" s="293" t="s">
        <v>33</v>
      </c>
      <c r="L18" s="61" t="s">
        <v>1078</v>
      </c>
      <c r="M18" s="293" t="s">
        <v>23</v>
      </c>
      <c r="N18" s="293" t="s">
        <v>1</v>
      </c>
      <c r="O18" s="61" t="s">
        <v>969</v>
      </c>
      <c r="P18" s="293" t="s">
        <v>833</v>
      </c>
      <c r="Q18" s="293" t="s">
        <v>151</v>
      </c>
      <c r="R18" s="293" t="s">
        <v>840</v>
      </c>
      <c r="S18" s="293" t="s">
        <v>839</v>
      </c>
      <c r="T18" s="293" t="s">
        <v>1092</v>
      </c>
      <c r="U18" s="293" t="s">
        <v>1094</v>
      </c>
      <c r="V18" s="293" t="s">
        <v>92</v>
      </c>
      <c r="W18" s="293" t="s">
        <v>1079</v>
      </c>
      <c r="X18" s="293" t="s">
        <v>23</v>
      </c>
      <c r="Y18" s="293" t="s">
        <v>1</v>
      </c>
      <c r="Z18" s="61" t="s">
        <v>969</v>
      </c>
      <c r="AA18" s="182" t="s">
        <v>1071</v>
      </c>
      <c r="AB18" s="182" t="s">
        <v>1073</v>
      </c>
      <c r="AC18" s="61" t="s">
        <v>915</v>
      </c>
    </row>
    <row r="19" spans="1:29" ht="21.6" customHeight="1">
      <c r="B19" s="59" t="s">
        <v>18</v>
      </c>
      <c r="C19" s="85"/>
      <c r="D19" s="89" t="s">
        <v>152</v>
      </c>
      <c r="E19" s="89" t="s">
        <v>1025</v>
      </c>
      <c r="F19" s="89" t="s">
        <v>1024</v>
      </c>
      <c r="G19" s="89" t="s">
        <v>153</v>
      </c>
      <c r="H19" s="89" t="s">
        <v>153</v>
      </c>
      <c r="I19" s="89" t="s">
        <v>15</v>
      </c>
      <c r="J19" s="38" t="s">
        <v>812</v>
      </c>
      <c r="K19" s="38" t="s">
        <v>813</v>
      </c>
      <c r="L19" s="38" t="s">
        <v>147</v>
      </c>
      <c r="M19" s="89" t="s">
        <v>16</v>
      </c>
      <c r="N19" s="62" t="s">
        <v>5</v>
      </c>
      <c r="O19" s="89" t="s">
        <v>706</v>
      </c>
      <c r="P19" s="235"/>
      <c r="Q19" s="89" t="s">
        <v>152</v>
      </c>
      <c r="R19" s="89" t="s">
        <v>1025</v>
      </c>
      <c r="S19" s="89" t="s">
        <v>1024</v>
      </c>
      <c r="T19" s="89" t="s">
        <v>153</v>
      </c>
      <c r="U19" s="89" t="s">
        <v>153</v>
      </c>
      <c r="V19" s="89" t="s">
        <v>15</v>
      </c>
      <c r="W19" s="89" t="s">
        <v>1181</v>
      </c>
      <c r="X19" s="89" t="s">
        <v>16</v>
      </c>
      <c r="Y19" s="62" t="s">
        <v>5</v>
      </c>
      <c r="Z19" s="89" t="s">
        <v>706</v>
      </c>
      <c r="AA19" s="89" t="s">
        <v>16</v>
      </c>
      <c r="AB19" s="62" t="s">
        <v>5</v>
      </c>
      <c r="AC19" s="89" t="s">
        <v>706</v>
      </c>
    </row>
    <row r="20" spans="1:29">
      <c r="B20" s="59" t="s">
        <v>13</v>
      </c>
      <c r="C20" s="238"/>
      <c r="D20" s="237">
        <f>SUM(D21:D30)</f>
        <v>0</v>
      </c>
      <c r="E20" s="236"/>
      <c r="F20" s="236"/>
      <c r="G20" s="277">
        <f>SUM(G21:G30)</f>
        <v>0</v>
      </c>
      <c r="H20" s="237">
        <f>SUM(H21:H30)</f>
        <v>0</v>
      </c>
      <c r="I20" s="179"/>
      <c r="J20" s="179"/>
      <c r="K20" s="179"/>
      <c r="L20" s="179"/>
      <c r="M20" s="455">
        <f>SUM(M21:M30)</f>
        <v>0</v>
      </c>
      <c r="N20" s="325">
        <f>SUM(N21:N30)</f>
        <v>0</v>
      </c>
      <c r="O20" s="325">
        <f>SUM(O21:O30)</f>
        <v>0</v>
      </c>
      <c r="P20" s="236"/>
      <c r="Q20" s="237">
        <f>SUM(Q21:Q30)</f>
        <v>0</v>
      </c>
      <c r="R20" s="236"/>
      <c r="S20" s="236"/>
      <c r="T20" s="277">
        <f>SUM(T21:T30)</f>
        <v>0</v>
      </c>
      <c r="U20" s="237">
        <f>SUM(U21:U30)</f>
        <v>0</v>
      </c>
      <c r="V20" s="179"/>
      <c r="W20" s="179"/>
      <c r="X20" s="455">
        <f t="shared" ref="X20:AC20" si="0">SUM(X21:X30)</f>
        <v>0</v>
      </c>
      <c r="Y20" s="325">
        <f t="shared" si="0"/>
        <v>0</v>
      </c>
      <c r="Z20" s="325">
        <f t="shared" si="0"/>
        <v>0</v>
      </c>
      <c r="AA20" s="356">
        <f t="shared" si="0"/>
        <v>0</v>
      </c>
      <c r="AB20" s="165">
        <f t="shared" si="0"/>
        <v>0</v>
      </c>
      <c r="AC20" s="165">
        <f t="shared" si="0"/>
        <v>0</v>
      </c>
    </row>
    <row r="21" spans="1:29" s="15" customFormat="1">
      <c r="B21" s="63" t="s">
        <v>42</v>
      </c>
      <c r="C21" s="112"/>
      <c r="D21" s="112"/>
      <c r="E21" s="471"/>
      <c r="F21" s="112"/>
      <c r="G21" s="113"/>
      <c r="H21" s="113"/>
      <c r="I21" s="114">
        <f>IF(D21&lt;=500,0.4,0.5)</f>
        <v>0.4</v>
      </c>
      <c r="J21" s="147"/>
      <c r="K21" s="147"/>
      <c r="L21" s="453">
        <f>J21*K21</f>
        <v>0</v>
      </c>
      <c r="M21" s="454">
        <f>(G21*8760+H21*I21^2*L21)/1000</f>
        <v>0</v>
      </c>
      <c r="N21" s="456">
        <f>M21*係数!$I$30</f>
        <v>0</v>
      </c>
      <c r="O21" s="456">
        <f>M21*係数!$C$30*0.0000258</f>
        <v>0</v>
      </c>
      <c r="P21" s="112"/>
      <c r="Q21" s="112"/>
      <c r="R21" s="471"/>
      <c r="S21" s="112"/>
      <c r="T21" s="113"/>
      <c r="U21" s="113"/>
      <c r="V21" s="114">
        <f>IF(Q21&lt;=500,0.4,0.5)</f>
        <v>0.4</v>
      </c>
      <c r="W21" s="454">
        <f>IF(L21="","",L21)</f>
        <v>0</v>
      </c>
      <c r="X21" s="454">
        <f>(T21*8760+U21*V21^2*W21)/1000</f>
        <v>0</v>
      </c>
      <c r="Y21" s="456">
        <f>X21*係数!$I$30</f>
        <v>0</v>
      </c>
      <c r="Z21" s="456">
        <f>X21*係数!$C$30*0.0000258</f>
        <v>0</v>
      </c>
      <c r="AA21" s="472">
        <f>M21-X21</f>
        <v>0</v>
      </c>
      <c r="AB21" s="318">
        <f>N21-Y21</f>
        <v>0</v>
      </c>
      <c r="AC21" s="118">
        <f>O21-Z21</f>
        <v>0</v>
      </c>
    </row>
    <row r="22" spans="1:29" s="15" customFormat="1">
      <c r="B22" s="63" t="s">
        <v>43</v>
      </c>
      <c r="C22" s="112"/>
      <c r="D22" s="112"/>
      <c r="E22" s="471"/>
      <c r="F22" s="112"/>
      <c r="G22" s="113"/>
      <c r="H22" s="113"/>
      <c r="I22" s="114">
        <f t="shared" ref="I22:I30" si="1">IF(D22&lt;=500,0.4,0.5)</f>
        <v>0.4</v>
      </c>
      <c r="J22" s="148"/>
      <c r="K22" s="148"/>
      <c r="L22" s="453">
        <f t="shared" ref="L22:L30" si="2">J22*K22</f>
        <v>0</v>
      </c>
      <c r="M22" s="454">
        <f t="shared" ref="M22:M30" si="3">(G22*8760+H22*I22^2*L22)/1000</f>
        <v>0</v>
      </c>
      <c r="N22" s="456">
        <f>M22*係数!$I$30</f>
        <v>0</v>
      </c>
      <c r="O22" s="456">
        <f>M22*係数!$C$30*0.0000258</f>
        <v>0</v>
      </c>
      <c r="P22" s="112"/>
      <c r="Q22" s="112"/>
      <c r="R22" s="471"/>
      <c r="S22" s="112"/>
      <c r="T22" s="113"/>
      <c r="U22" s="113"/>
      <c r="V22" s="114">
        <f t="shared" ref="V22:V30" si="4">IF(Q22&lt;=500,0.4,0.5)</f>
        <v>0.4</v>
      </c>
      <c r="W22" s="454">
        <f t="shared" ref="W22:W30" si="5">IF(L22="","",L22)</f>
        <v>0</v>
      </c>
      <c r="X22" s="454">
        <f t="shared" ref="X22:X30" si="6">(T22*8760+U22*V22^2*W22)/1000</f>
        <v>0</v>
      </c>
      <c r="Y22" s="456">
        <f>X22*係数!$I$30</f>
        <v>0</v>
      </c>
      <c r="Z22" s="456">
        <f>X22*係数!$C$30*0.0000258</f>
        <v>0</v>
      </c>
      <c r="AA22" s="472">
        <f t="shared" ref="AA22:AA30" si="7">M22-X22</f>
        <v>0</v>
      </c>
      <c r="AB22" s="318">
        <f t="shared" ref="AB22:AB30" si="8">N22-Y22</f>
        <v>0</v>
      </c>
      <c r="AC22" s="118">
        <f t="shared" ref="AC22:AC30" si="9">O22-Z22</f>
        <v>0</v>
      </c>
    </row>
    <row r="23" spans="1:29" s="15" customFormat="1">
      <c r="B23" s="63" t="s">
        <v>44</v>
      </c>
      <c r="C23" s="112"/>
      <c r="D23" s="112"/>
      <c r="E23" s="471"/>
      <c r="F23" s="112"/>
      <c r="G23" s="113"/>
      <c r="H23" s="113"/>
      <c r="I23" s="114">
        <f>IF(D23&lt;=500,0.4,0.5)</f>
        <v>0.4</v>
      </c>
      <c r="J23" s="148"/>
      <c r="K23" s="148"/>
      <c r="L23" s="453">
        <f t="shared" si="2"/>
        <v>0</v>
      </c>
      <c r="M23" s="454">
        <f t="shared" si="3"/>
        <v>0</v>
      </c>
      <c r="N23" s="456">
        <f>M23*係数!$I$30</f>
        <v>0</v>
      </c>
      <c r="O23" s="456">
        <f>M23*係数!$C$30*0.0000258</f>
        <v>0</v>
      </c>
      <c r="P23" s="112"/>
      <c r="Q23" s="112"/>
      <c r="R23" s="471"/>
      <c r="S23" s="112"/>
      <c r="T23" s="113"/>
      <c r="U23" s="113"/>
      <c r="V23" s="114">
        <f t="shared" si="4"/>
        <v>0.4</v>
      </c>
      <c r="W23" s="454">
        <f t="shared" si="5"/>
        <v>0</v>
      </c>
      <c r="X23" s="454">
        <f t="shared" si="6"/>
        <v>0</v>
      </c>
      <c r="Y23" s="456">
        <f>X23*係数!$I$30</f>
        <v>0</v>
      </c>
      <c r="Z23" s="456">
        <f>X23*係数!$C$30*0.0000258</f>
        <v>0</v>
      </c>
      <c r="AA23" s="472">
        <f t="shared" si="7"/>
        <v>0</v>
      </c>
      <c r="AB23" s="318">
        <f t="shared" si="8"/>
        <v>0</v>
      </c>
      <c r="AC23" s="118">
        <f t="shared" si="9"/>
        <v>0</v>
      </c>
    </row>
    <row r="24" spans="1:29" s="15" customFormat="1">
      <c r="B24" s="63" t="s">
        <v>45</v>
      </c>
      <c r="C24" s="112"/>
      <c r="D24" s="112"/>
      <c r="E24" s="471"/>
      <c r="F24" s="112"/>
      <c r="G24" s="113"/>
      <c r="H24" s="113"/>
      <c r="I24" s="114">
        <f t="shared" si="1"/>
        <v>0.4</v>
      </c>
      <c r="J24" s="148"/>
      <c r="K24" s="148"/>
      <c r="L24" s="453">
        <f t="shared" si="2"/>
        <v>0</v>
      </c>
      <c r="M24" s="454">
        <f t="shared" si="3"/>
        <v>0</v>
      </c>
      <c r="N24" s="456">
        <f>M24*係数!$I$30</f>
        <v>0</v>
      </c>
      <c r="O24" s="456">
        <f>M24*係数!$C$30*0.0000258</f>
        <v>0</v>
      </c>
      <c r="P24" s="112"/>
      <c r="Q24" s="112"/>
      <c r="R24" s="471"/>
      <c r="S24" s="112"/>
      <c r="T24" s="113"/>
      <c r="U24" s="113"/>
      <c r="V24" s="114">
        <f t="shared" si="4"/>
        <v>0.4</v>
      </c>
      <c r="W24" s="454">
        <f t="shared" si="5"/>
        <v>0</v>
      </c>
      <c r="X24" s="454">
        <f t="shared" si="6"/>
        <v>0</v>
      </c>
      <c r="Y24" s="456">
        <f>X24*係数!$I$30</f>
        <v>0</v>
      </c>
      <c r="Z24" s="456">
        <f>X24*係数!$C$30*0.0000258</f>
        <v>0</v>
      </c>
      <c r="AA24" s="472">
        <f t="shared" si="7"/>
        <v>0</v>
      </c>
      <c r="AB24" s="318">
        <f t="shared" si="8"/>
        <v>0</v>
      </c>
      <c r="AC24" s="118">
        <f t="shared" si="9"/>
        <v>0</v>
      </c>
    </row>
    <row r="25" spans="1:29" s="15" customFormat="1">
      <c r="B25" s="63" t="s">
        <v>46</v>
      </c>
      <c r="C25" s="112"/>
      <c r="D25" s="112"/>
      <c r="E25" s="471"/>
      <c r="F25" s="112"/>
      <c r="G25" s="113"/>
      <c r="H25" s="113"/>
      <c r="I25" s="114">
        <f t="shared" si="1"/>
        <v>0.4</v>
      </c>
      <c r="J25" s="148"/>
      <c r="K25" s="148"/>
      <c r="L25" s="453">
        <f t="shared" si="2"/>
        <v>0</v>
      </c>
      <c r="M25" s="454">
        <f t="shared" si="3"/>
        <v>0</v>
      </c>
      <c r="N25" s="456">
        <f>M25*係数!$I$30</f>
        <v>0</v>
      </c>
      <c r="O25" s="456">
        <f>M25*係数!$C$30*0.0000258</f>
        <v>0</v>
      </c>
      <c r="P25" s="112"/>
      <c r="Q25" s="112"/>
      <c r="R25" s="471"/>
      <c r="S25" s="112"/>
      <c r="T25" s="113"/>
      <c r="U25" s="113"/>
      <c r="V25" s="114">
        <f t="shared" si="4"/>
        <v>0.4</v>
      </c>
      <c r="W25" s="454">
        <f t="shared" si="5"/>
        <v>0</v>
      </c>
      <c r="X25" s="454">
        <f t="shared" si="6"/>
        <v>0</v>
      </c>
      <c r="Y25" s="456">
        <f>X25*係数!$I$30</f>
        <v>0</v>
      </c>
      <c r="Z25" s="456">
        <f>X25*係数!$C$30*0.0000258</f>
        <v>0</v>
      </c>
      <c r="AA25" s="472">
        <f t="shared" si="7"/>
        <v>0</v>
      </c>
      <c r="AB25" s="318">
        <f t="shared" si="8"/>
        <v>0</v>
      </c>
      <c r="AC25" s="118">
        <f t="shared" si="9"/>
        <v>0</v>
      </c>
    </row>
    <row r="26" spans="1:29" s="15" customFormat="1">
      <c r="B26" s="63" t="s">
        <v>47</v>
      </c>
      <c r="C26" s="112"/>
      <c r="D26" s="112"/>
      <c r="E26" s="471"/>
      <c r="F26" s="112"/>
      <c r="G26" s="113"/>
      <c r="H26" s="113"/>
      <c r="I26" s="114">
        <f t="shared" si="1"/>
        <v>0.4</v>
      </c>
      <c r="J26" s="148"/>
      <c r="K26" s="148"/>
      <c r="L26" s="453">
        <f t="shared" si="2"/>
        <v>0</v>
      </c>
      <c r="M26" s="454">
        <f t="shared" si="3"/>
        <v>0</v>
      </c>
      <c r="N26" s="456">
        <f>M26*係数!$I$30</f>
        <v>0</v>
      </c>
      <c r="O26" s="456">
        <f>M26*係数!$C$30*0.0000258</f>
        <v>0</v>
      </c>
      <c r="P26" s="112"/>
      <c r="Q26" s="112"/>
      <c r="R26" s="471"/>
      <c r="S26" s="112"/>
      <c r="T26" s="113"/>
      <c r="U26" s="113"/>
      <c r="V26" s="114">
        <f t="shared" si="4"/>
        <v>0.4</v>
      </c>
      <c r="W26" s="454">
        <f t="shared" si="5"/>
        <v>0</v>
      </c>
      <c r="X26" s="454">
        <f t="shared" si="6"/>
        <v>0</v>
      </c>
      <c r="Y26" s="456">
        <f>X26*係数!$I$30</f>
        <v>0</v>
      </c>
      <c r="Z26" s="456">
        <f>X26*係数!$C$30*0.0000258</f>
        <v>0</v>
      </c>
      <c r="AA26" s="472">
        <f t="shared" si="7"/>
        <v>0</v>
      </c>
      <c r="AB26" s="318">
        <f t="shared" si="8"/>
        <v>0</v>
      </c>
      <c r="AC26" s="118">
        <f t="shared" si="9"/>
        <v>0</v>
      </c>
    </row>
    <row r="27" spans="1:29" s="15" customFormat="1">
      <c r="B27" s="63" t="s">
        <v>48</v>
      </c>
      <c r="C27" s="112"/>
      <c r="D27" s="112"/>
      <c r="E27" s="471"/>
      <c r="F27" s="112"/>
      <c r="G27" s="113"/>
      <c r="H27" s="113"/>
      <c r="I27" s="114">
        <f t="shared" si="1"/>
        <v>0.4</v>
      </c>
      <c r="J27" s="148"/>
      <c r="K27" s="148"/>
      <c r="L27" s="453">
        <f t="shared" si="2"/>
        <v>0</v>
      </c>
      <c r="M27" s="454">
        <f t="shared" si="3"/>
        <v>0</v>
      </c>
      <c r="N27" s="456">
        <f>M27*係数!$I$30</f>
        <v>0</v>
      </c>
      <c r="O27" s="456">
        <f>M27*係数!$C$30*0.0000258</f>
        <v>0</v>
      </c>
      <c r="P27" s="112"/>
      <c r="Q27" s="112"/>
      <c r="R27" s="471"/>
      <c r="S27" s="112"/>
      <c r="T27" s="113"/>
      <c r="U27" s="113"/>
      <c r="V27" s="114">
        <f t="shared" si="4"/>
        <v>0.4</v>
      </c>
      <c r="W27" s="454">
        <f t="shared" si="5"/>
        <v>0</v>
      </c>
      <c r="X27" s="454">
        <f t="shared" si="6"/>
        <v>0</v>
      </c>
      <c r="Y27" s="456">
        <f>X27*係数!$I$30</f>
        <v>0</v>
      </c>
      <c r="Z27" s="456">
        <f>X27*係数!$C$30*0.0000258</f>
        <v>0</v>
      </c>
      <c r="AA27" s="472">
        <f t="shared" si="7"/>
        <v>0</v>
      </c>
      <c r="AB27" s="318">
        <f t="shared" si="8"/>
        <v>0</v>
      </c>
      <c r="AC27" s="118">
        <f t="shared" si="9"/>
        <v>0</v>
      </c>
    </row>
    <row r="28" spans="1:29" s="15" customFormat="1">
      <c r="B28" s="63" t="s">
        <v>49</v>
      </c>
      <c r="C28" s="112"/>
      <c r="D28" s="112"/>
      <c r="E28" s="471"/>
      <c r="F28" s="112"/>
      <c r="G28" s="113"/>
      <c r="H28" s="113"/>
      <c r="I28" s="114">
        <f t="shared" si="1"/>
        <v>0.4</v>
      </c>
      <c r="J28" s="148"/>
      <c r="K28" s="148"/>
      <c r="L28" s="453">
        <f t="shared" si="2"/>
        <v>0</v>
      </c>
      <c r="M28" s="454">
        <f t="shared" si="3"/>
        <v>0</v>
      </c>
      <c r="N28" s="456">
        <f>M28*係数!$I$30</f>
        <v>0</v>
      </c>
      <c r="O28" s="456">
        <f>M28*係数!$C$30*0.0000258</f>
        <v>0</v>
      </c>
      <c r="P28" s="112"/>
      <c r="Q28" s="112"/>
      <c r="R28" s="471"/>
      <c r="S28" s="112"/>
      <c r="T28" s="113"/>
      <c r="U28" s="113"/>
      <c r="V28" s="114">
        <f t="shared" si="4"/>
        <v>0.4</v>
      </c>
      <c r="W28" s="454">
        <f t="shared" si="5"/>
        <v>0</v>
      </c>
      <c r="X28" s="454">
        <f t="shared" si="6"/>
        <v>0</v>
      </c>
      <c r="Y28" s="456">
        <f>X28*係数!$I$30</f>
        <v>0</v>
      </c>
      <c r="Z28" s="456">
        <f>X28*係数!$C$30*0.0000258</f>
        <v>0</v>
      </c>
      <c r="AA28" s="472">
        <f t="shared" si="7"/>
        <v>0</v>
      </c>
      <c r="AB28" s="318">
        <f t="shared" si="8"/>
        <v>0</v>
      </c>
      <c r="AC28" s="118">
        <f t="shared" si="9"/>
        <v>0</v>
      </c>
    </row>
    <row r="29" spans="1:29" s="15" customFormat="1">
      <c r="B29" s="63" t="s">
        <v>50</v>
      </c>
      <c r="C29" s="112"/>
      <c r="D29" s="112"/>
      <c r="E29" s="471"/>
      <c r="F29" s="112"/>
      <c r="G29" s="113"/>
      <c r="H29" s="113"/>
      <c r="I29" s="114">
        <f t="shared" si="1"/>
        <v>0.4</v>
      </c>
      <c r="J29" s="148"/>
      <c r="K29" s="148"/>
      <c r="L29" s="453">
        <f t="shared" si="2"/>
        <v>0</v>
      </c>
      <c r="M29" s="454">
        <f t="shared" si="3"/>
        <v>0</v>
      </c>
      <c r="N29" s="456">
        <f>M29*係数!$I$30</f>
        <v>0</v>
      </c>
      <c r="O29" s="456">
        <f>M29*係数!$C$30*0.0000258</f>
        <v>0</v>
      </c>
      <c r="P29" s="112"/>
      <c r="Q29" s="112"/>
      <c r="R29" s="471"/>
      <c r="S29" s="112"/>
      <c r="T29" s="113"/>
      <c r="U29" s="113"/>
      <c r="V29" s="114">
        <f t="shared" si="4"/>
        <v>0.4</v>
      </c>
      <c r="W29" s="454">
        <f t="shared" si="5"/>
        <v>0</v>
      </c>
      <c r="X29" s="454">
        <f t="shared" si="6"/>
        <v>0</v>
      </c>
      <c r="Y29" s="456">
        <f>X29*係数!$I$30</f>
        <v>0</v>
      </c>
      <c r="Z29" s="456">
        <f>X29*係数!$C$30*0.0000258</f>
        <v>0</v>
      </c>
      <c r="AA29" s="472">
        <f t="shared" si="7"/>
        <v>0</v>
      </c>
      <c r="AB29" s="318">
        <f t="shared" si="8"/>
        <v>0</v>
      </c>
      <c r="AC29" s="118">
        <f t="shared" si="9"/>
        <v>0</v>
      </c>
    </row>
    <row r="30" spans="1:29" s="15" customFormat="1">
      <c r="B30" s="63" t="s">
        <v>51</v>
      </c>
      <c r="C30" s="112"/>
      <c r="D30" s="112"/>
      <c r="E30" s="471"/>
      <c r="F30" s="112"/>
      <c r="G30" s="113"/>
      <c r="H30" s="113"/>
      <c r="I30" s="114">
        <f t="shared" si="1"/>
        <v>0.4</v>
      </c>
      <c r="J30" s="148"/>
      <c r="K30" s="148"/>
      <c r="L30" s="453">
        <f t="shared" si="2"/>
        <v>0</v>
      </c>
      <c r="M30" s="454">
        <f t="shared" si="3"/>
        <v>0</v>
      </c>
      <c r="N30" s="456">
        <f>M30*係数!$I$30</f>
        <v>0</v>
      </c>
      <c r="O30" s="456">
        <f>M30*係数!$C$30*0.0000258</f>
        <v>0</v>
      </c>
      <c r="P30" s="112"/>
      <c r="Q30" s="112"/>
      <c r="R30" s="471"/>
      <c r="S30" s="112"/>
      <c r="T30" s="113"/>
      <c r="U30" s="113"/>
      <c r="V30" s="114">
        <f t="shared" si="4"/>
        <v>0.4</v>
      </c>
      <c r="W30" s="454">
        <f t="shared" si="5"/>
        <v>0</v>
      </c>
      <c r="X30" s="454">
        <f t="shared" si="6"/>
        <v>0</v>
      </c>
      <c r="Y30" s="456">
        <f>X30*係数!$I$30</f>
        <v>0</v>
      </c>
      <c r="Z30" s="456">
        <f>X30*係数!$C$30*0.0000258</f>
        <v>0</v>
      </c>
      <c r="AA30" s="472">
        <f t="shared" si="7"/>
        <v>0</v>
      </c>
      <c r="AB30" s="318">
        <f t="shared" si="8"/>
        <v>0</v>
      </c>
      <c r="AC30" s="118">
        <f t="shared" si="9"/>
        <v>0</v>
      </c>
    </row>
    <row r="32" spans="1:29" ht="30">
      <c r="A32" s="497" t="s">
        <v>899</v>
      </c>
      <c r="B32" s="498"/>
      <c r="C32" s="498"/>
      <c r="D32" s="498"/>
      <c r="E32" s="498"/>
      <c r="F32" s="498"/>
      <c r="G32" s="498"/>
      <c r="H32" s="498"/>
      <c r="I32" s="498"/>
      <c r="J32" s="498"/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8"/>
      <c r="AA32" s="498"/>
      <c r="AB32" s="498"/>
      <c r="AC32" s="498"/>
    </row>
    <row r="33" spans="1:29">
      <c r="A33" s="498"/>
      <c r="B33" s="498"/>
      <c r="C33" s="498"/>
      <c r="D33" s="498"/>
      <c r="E33" s="498"/>
      <c r="F33" s="498"/>
      <c r="G33" s="498"/>
      <c r="H33" s="498"/>
      <c r="I33" s="498"/>
      <c r="J33" s="498"/>
      <c r="K33" s="498"/>
      <c r="L33" s="498"/>
      <c r="M33" s="498"/>
      <c r="N33" s="498"/>
      <c r="O33" s="498"/>
      <c r="P33" s="498"/>
      <c r="Q33" s="498"/>
      <c r="R33" s="498"/>
      <c r="S33" s="498"/>
      <c r="T33" s="498"/>
      <c r="U33" s="498"/>
      <c r="V33" s="498"/>
      <c r="W33" s="498"/>
      <c r="X33" s="498"/>
      <c r="Y33" s="498"/>
      <c r="Z33" s="498"/>
      <c r="AA33" s="498"/>
      <c r="AB33" s="498"/>
      <c r="AC33" s="498"/>
    </row>
    <row r="34" spans="1:29">
      <c r="A34" s="498"/>
      <c r="B34" s="498"/>
      <c r="C34" s="498"/>
      <c r="D34" s="498"/>
      <c r="E34" s="498"/>
      <c r="F34" s="498"/>
      <c r="G34" s="498"/>
      <c r="H34" s="498"/>
      <c r="I34" s="498"/>
      <c r="J34" s="498"/>
      <c r="K34" s="498"/>
      <c r="L34" s="498"/>
      <c r="M34" s="498"/>
      <c r="N34" s="498"/>
      <c r="O34" s="498"/>
      <c r="P34" s="498"/>
      <c r="Q34" s="498"/>
      <c r="R34" s="498"/>
      <c r="S34" s="498"/>
      <c r="T34" s="498"/>
      <c r="U34" s="498"/>
      <c r="V34" s="498"/>
      <c r="W34" s="498"/>
      <c r="X34" s="498"/>
      <c r="Y34" s="498"/>
      <c r="Z34" s="498"/>
      <c r="AA34" s="498"/>
      <c r="AB34" s="498"/>
      <c r="AC34" s="498"/>
    </row>
    <row r="35" spans="1:29">
      <c r="A35" s="498"/>
      <c r="B35" s="498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8"/>
      <c r="AA35" s="498"/>
      <c r="AB35" s="498"/>
      <c r="AC35" s="498"/>
    </row>
    <row r="36" spans="1:29">
      <c r="A36" s="498"/>
      <c r="B36" s="254" t="str">
        <f>HYPERLINK("#", "【シートトップ】ハイパーリンク")</f>
        <v>【シートトップ】ハイパーリンク</v>
      </c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  <c r="AB36" s="498"/>
      <c r="AC36" s="498"/>
    </row>
    <row r="37" spans="1:29">
      <c r="A37" s="498"/>
      <c r="B37" s="713" t="s">
        <v>17</v>
      </c>
      <c r="C37" s="499" t="s">
        <v>19</v>
      </c>
      <c r="D37" s="500"/>
      <c r="E37" s="500"/>
      <c r="F37" s="500"/>
      <c r="G37" s="500"/>
      <c r="H37" s="500"/>
      <c r="I37" s="500"/>
      <c r="J37" s="500"/>
      <c r="K37" s="500"/>
      <c r="L37" s="500"/>
      <c r="M37" s="500"/>
      <c r="N37" s="500"/>
      <c r="O37" s="506"/>
      <c r="P37" s="499" t="s">
        <v>20</v>
      </c>
      <c r="Q37" s="500"/>
      <c r="R37" s="500"/>
      <c r="S37" s="500"/>
      <c r="T37" s="500"/>
      <c r="U37" s="500"/>
      <c r="V37" s="500"/>
      <c r="W37" s="500"/>
      <c r="X37" s="500"/>
      <c r="Y37" s="500"/>
      <c r="Z37" s="506"/>
      <c r="AA37" s="624" t="s">
        <v>26</v>
      </c>
      <c r="AB37" s="624"/>
      <c r="AC37" s="624"/>
    </row>
    <row r="38" spans="1:29" s="15" customFormat="1" ht="37.5">
      <c r="A38" s="625"/>
      <c r="B38" s="714"/>
      <c r="C38" s="626" t="s">
        <v>858</v>
      </c>
      <c r="D38" s="626" t="s">
        <v>151</v>
      </c>
      <c r="E38" s="626" t="s">
        <v>840</v>
      </c>
      <c r="F38" s="626" t="s">
        <v>839</v>
      </c>
      <c r="G38" s="626" t="s">
        <v>1092</v>
      </c>
      <c r="H38" s="626" t="s">
        <v>1094</v>
      </c>
      <c r="I38" s="626" t="s">
        <v>92</v>
      </c>
      <c r="J38" s="567" t="s">
        <v>702</v>
      </c>
      <c r="K38" s="567" t="s">
        <v>33</v>
      </c>
      <c r="L38" s="567" t="s">
        <v>1078</v>
      </c>
      <c r="M38" s="626" t="s">
        <v>23</v>
      </c>
      <c r="N38" s="626" t="s">
        <v>1082</v>
      </c>
      <c r="O38" s="510" t="s">
        <v>968</v>
      </c>
      <c r="P38" s="626" t="s">
        <v>833</v>
      </c>
      <c r="Q38" s="626" t="s">
        <v>151</v>
      </c>
      <c r="R38" s="626" t="s">
        <v>840</v>
      </c>
      <c r="S38" s="626" t="s">
        <v>839</v>
      </c>
      <c r="T38" s="626" t="s">
        <v>1092</v>
      </c>
      <c r="U38" s="626" t="s">
        <v>1094</v>
      </c>
      <c r="V38" s="626" t="s">
        <v>92</v>
      </c>
      <c r="W38" s="626" t="s">
        <v>1079</v>
      </c>
      <c r="X38" s="626" t="s">
        <v>23</v>
      </c>
      <c r="Y38" s="626" t="s">
        <v>1</v>
      </c>
      <c r="Z38" s="510" t="s">
        <v>968</v>
      </c>
      <c r="AA38" s="627" t="s">
        <v>1071</v>
      </c>
      <c r="AB38" s="627" t="s">
        <v>1073</v>
      </c>
      <c r="AC38" s="510" t="s">
        <v>915</v>
      </c>
    </row>
    <row r="39" spans="1:29">
      <c r="A39" s="498"/>
      <c r="B39" s="513" t="s">
        <v>18</v>
      </c>
      <c r="C39" s="570"/>
      <c r="D39" s="514" t="s">
        <v>152</v>
      </c>
      <c r="E39" s="514" t="s">
        <v>1025</v>
      </c>
      <c r="F39" s="514" t="s">
        <v>1024</v>
      </c>
      <c r="G39" s="514" t="s">
        <v>153</v>
      </c>
      <c r="H39" s="514" t="s">
        <v>153</v>
      </c>
      <c r="I39" s="514" t="s">
        <v>15</v>
      </c>
      <c r="J39" s="628" t="s">
        <v>812</v>
      </c>
      <c r="K39" s="628" t="s">
        <v>813</v>
      </c>
      <c r="L39" s="628" t="s">
        <v>147</v>
      </c>
      <c r="M39" s="514" t="s">
        <v>16</v>
      </c>
      <c r="N39" s="516" t="s">
        <v>5</v>
      </c>
      <c r="O39" s="514" t="s">
        <v>706</v>
      </c>
      <c r="P39" s="629"/>
      <c r="Q39" s="514" t="s">
        <v>152</v>
      </c>
      <c r="R39" s="514" t="s">
        <v>1025</v>
      </c>
      <c r="S39" s="514" t="s">
        <v>1024</v>
      </c>
      <c r="T39" s="514" t="s">
        <v>153</v>
      </c>
      <c r="U39" s="514" t="s">
        <v>153</v>
      </c>
      <c r="V39" s="514" t="s">
        <v>15</v>
      </c>
      <c r="W39" s="514" t="s">
        <v>1181</v>
      </c>
      <c r="X39" s="514" t="s">
        <v>16</v>
      </c>
      <c r="Y39" s="516" t="s">
        <v>5</v>
      </c>
      <c r="Z39" s="514" t="s">
        <v>706</v>
      </c>
      <c r="AA39" s="514" t="s">
        <v>16</v>
      </c>
      <c r="AB39" s="516" t="s">
        <v>5</v>
      </c>
      <c r="AC39" s="514" t="s">
        <v>706</v>
      </c>
    </row>
    <row r="40" spans="1:29">
      <c r="A40" s="498"/>
      <c r="B40" s="514" t="s">
        <v>13</v>
      </c>
      <c r="C40" s="630"/>
      <c r="D40" s="631">
        <f>SUM(D41:D49)</f>
        <v>180</v>
      </c>
      <c r="E40" s="632"/>
      <c r="F40" s="632"/>
      <c r="G40" s="633">
        <f>SUM(G41:G49)</f>
        <v>573</v>
      </c>
      <c r="H40" s="631">
        <f>SUM(H41:H49)</f>
        <v>2895</v>
      </c>
      <c r="I40" s="634"/>
      <c r="J40" s="634"/>
      <c r="K40" s="634"/>
      <c r="L40" s="634"/>
      <c r="M40" s="635">
        <f>SUM(M41:M49)</f>
        <v>9077.112000000001</v>
      </c>
      <c r="N40" s="636">
        <f>SUM(N41:N49)</f>
        <v>4.1028546240000008</v>
      </c>
      <c r="O40" s="636">
        <f>SUM(O41:O49)</f>
        <v>2.0233971901440002</v>
      </c>
      <c r="P40" s="632"/>
      <c r="Q40" s="631">
        <f>SUM(Q41:Q49)</f>
        <v>180</v>
      </c>
      <c r="R40" s="632"/>
      <c r="S40" s="632"/>
      <c r="T40" s="633">
        <f>SUM(T41:T42)</f>
        <v>329</v>
      </c>
      <c r="U40" s="633">
        <f>SUM(U41:U42)</f>
        <v>2071</v>
      </c>
      <c r="V40" s="634"/>
      <c r="W40" s="634"/>
      <c r="X40" s="637">
        <f t="shared" ref="X40:AC40" si="10">SUM(X41:X49)</f>
        <v>5784.7536</v>
      </c>
      <c r="Y40" s="636">
        <f t="shared" si="10"/>
        <v>2.6147086271999997</v>
      </c>
      <c r="Z40" s="636">
        <f t="shared" si="10"/>
        <v>1.2894909944832</v>
      </c>
      <c r="AA40" s="638">
        <f t="shared" si="10"/>
        <v>3292.358400000001</v>
      </c>
      <c r="AB40" s="587">
        <f t="shared" si="10"/>
        <v>1.4881459968000006</v>
      </c>
      <c r="AC40" s="587">
        <f t="shared" si="10"/>
        <v>0.73390619566080018</v>
      </c>
    </row>
    <row r="41" spans="1:29" s="15" customFormat="1">
      <c r="A41" s="625"/>
      <c r="B41" s="639" t="s">
        <v>42</v>
      </c>
      <c r="C41" s="640" t="s">
        <v>905</v>
      </c>
      <c r="D41" s="640">
        <v>150</v>
      </c>
      <c r="E41" s="641" t="s">
        <v>1187</v>
      </c>
      <c r="F41" s="640" t="s">
        <v>900</v>
      </c>
      <c r="G41" s="642">
        <v>482</v>
      </c>
      <c r="H41" s="642">
        <v>2420</v>
      </c>
      <c r="I41" s="114">
        <f t="shared" ref="I41:I42" si="11">IF(D41&lt;=500,0.4,0.5)</f>
        <v>0.4</v>
      </c>
      <c r="J41" s="643">
        <v>24</v>
      </c>
      <c r="K41" s="643">
        <v>365</v>
      </c>
      <c r="L41" s="644">
        <f>J41*K41</f>
        <v>8760</v>
      </c>
      <c r="M41" s="645">
        <f t="shared" ref="M41:M42" si="12">(G41*8760+H41*I41^2*L41)/1000</f>
        <v>7614.1920000000009</v>
      </c>
      <c r="N41" s="646">
        <f>M41*係数!$I$30</f>
        <v>3.4416147840000004</v>
      </c>
      <c r="O41" s="646">
        <f>M41*係数!$C$30*0.0000258</f>
        <v>1.6972947671040002</v>
      </c>
      <c r="P41" s="640" t="s">
        <v>907</v>
      </c>
      <c r="Q41" s="640">
        <v>150</v>
      </c>
      <c r="R41" s="641" t="s">
        <v>903</v>
      </c>
      <c r="S41" s="640" t="s">
        <v>900</v>
      </c>
      <c r="T41" s="642">
        <v>278</v>
      </c>
      <c r="U41" s="642">
        <v>1600</v>
      </c>
      <c r="V41" s="114">
        <f t="shared" ref="V41:V42" si="13">IF(Q41="","",IF(Q41&lt;=500,0.4,0.5))</f>
        <v>0.4</v>
      </c>
      <c r="W41" s="647">
        <f>IF(L41="","",L41)</f>
        <v>8760</v>
      </c>
      <c r="X41" s="647">
        <f>(T41*8760+U41*V41^2*W41)/1000</f>
        <v>4677.84</v>
      </c>
      <c r="Y41" s="646">
        <f>X41*係数!$I$30</f>
        <v>2.11438368</v>
      </c>
      <c r="Z41" s="646">
        <f>X41*係数!$C$30*0.0000258</f>
        <v>1.0427466700800001</v>
      </c>
      <c r="AA41" s="648">
        <f>M41-X41</f>
        <v>2936.3520000000008</v>
      </c>
      <c r="AB41" s="649">
        <f>N41-Y41</f>
        <v>1.3272311040000004</v>
      </c>
      <c r="AC41" s="650">
        <f>O41-Z41</f>
        <v>0.65454809702400008</v>
      </c>
    </row>
    <row r="42" spans="1:29" s="15" customFormat="1" ht="37.5">
      <c r="A42" s="625"/>
      <c r="B42" s="639" t="s">
        <v>43</v>
      </c>
      <c r="C42" s="640" t="s">
        <v>906</v>
      </c>
      <c r="D42" s="640">
        <v>30</v>
      </c>
      <c r="E42" s="641" t="s">
        <v>901</v>
      </c>
      <c r="F42" s="640" t="s">
        <v>902</v>
      </c>
      <c r="G42" s="642">
        <v>91</v>
      </c>
      <c r="H42" s="642">
        <v>475</v>
      </c>
      <c r="I42" s="114">
        <f t="shared" si="11"/>
        <v>0.4</v>
      </c>
      <c r="J42" s="651">
        <v>24</v>
      </c>
      <c r="K42" s="651">
        <v>365</v>
      </c>
      <c r="L42" s="644">
        <f t="shared" ref="L42" si="14">J42*K42</f>
        <v>8760</v>
      </c>
      <c r="M42" s="645">
        <f t="shared" si="12"/>
        <v>1462.92</v>
      </c>
      <c r="N42" s="646">
        <f>M42*係数!$I$30</f>
        <v>0.66123984000000002</v>
      </c>
      <c r="O42" s="646">
        <f>M42*係数!$C$30*0.0000258</f>
        <v>0.32610242304000009</v>
      </c>
      <c r="P42" s="640" t="s">
        <v>908</v>
      </c>
      <c r="Q42" s="640">
        <v>30</v>
      </c>
      <c r="R42" s="641" t="s">
        <v>901</v>
      </c>
      <c r="S42" s="640" t="s">
        <v>902</v>
      </c>
      <c r="T42" s="642">
        <v>51</v>
      </c>
      <c r="U42" s="642">
        <v>471</v>
      </c>
      <c r="V42" s="114">
        <f t="shared" si="13"/>
        <v>0.4</v>
      </c>
      <c r="W42" s="647">
        <f>IF(L42="","",L42)</f>
        <v>8760</v>
      </c>
      <c r="X42" s="647">
        <f>(T42*8760+U42*V42^2*W42)/1000</f>
        <v>1106.9136000000001</v>
      </c>
      <c r="Y42" s="646">
        <f>X42*係数!$I$30</f>
        <v>0.50032494719999998</v>
      </c>
      <c r="Z42" s="646">
        <f>X42*係数!$C$30*0.0000258</f>
        <v>0.24674432440320004</v>
      </c>
      <c r="AA42" s="648">
        <f>M42-X42</f>
        <v>356.00639999999999</v>
      </c>
      <c r="AB42" s="649">
        <f>N42-Y42</f>
        <v>0.16091489280000004</v>
      </c>
      <c r="AC42" s="650">
        <f t="shared" ref="AC42" si="15">O42-Z42</f>
        <v>7.9358098636800045E-2</v>
      </c>
    </row>
    <row r="43" spans="1:29">
      <c r="A43" s="498"/>
      <c r="B43" s="498"/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8"/>
      <c r="AA43" s="498"/>
      <c r="AB43" s="498"/>
      <c r="AC43" s="498"/>
    </row>
    <row r="44" spans="1:29">
      <c r="A44" s="498"/>
      <c r="B44" s="498"/>
      <c r="C44" s="498"/>
      <c r="D44" s="498"/>
      <c r="E44" s="498"/>
      <c r="F44" s="498"/>
      <c r="G44" s="498"/>
      <c r="H44" s="498"/>
      <c r="I44" s="498"/>
      <c r="J44" s="498"/>
      <c r="K44" s="498"/>
      <c r="L44" s="498"/>
      <c r="M44" s="498"/>
      <c r="N44" s="498"/>
      <c r="O44" s="498"/>
      <c r="P44" s="498"/>
      <c r="Q44" s="498"/>
      <c r="R44" s="498"/>
      <c r="S44" s="498"/>
      <c r="T44" s="498"/>
      <c r="U44" s="498"/>
      <c r="V44" s="498"/>
      <c r="W44" s="498"/>
      <c r="X44" s="498"/>
      <c r="Y44" s="498"/>
      <c r="Z44" s="498"/>
      <c r="AA44" s="498"/>
      <c r="AB44" s="498"/>
      <c r="AC44" s="498"/>
    </row>
    <row r="45" spans="1:29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  <c r="M45" s="498"/>
      <c r="N45" s="498"/>
      <c r="O45" s="498"/>
      <c r="P45" s="498"/>
      <c r="Q45" s="498"/>
      <c r="R45" s="498"/>
      <c r="S45" s="498"/>
      <c r="T45" s="498"/>
      <c r="U45" s="498"/>
      <c r="V45" s="498"/>
      <c r="W45" s="498"/>
      <c r="X45" s="498"/>
      <c r="Y45" s="498"/>
      <c r="Z45" s="498"/>
      <c r="AA45" s="498"/>
      <c r="AB45" s="498"/>
      <c r="AC45" s="498"/>
    </row>
    <row r="46" spans="1:29">
      <c r="A46" s="498"/>
      <c r="B46" s="498"/>
      <c r="C46" s="498"/>
      <c r="D46" s="498"/>
      <c r="E46" s="498"/>
      <c r="F46" s="498"/>
      <c r="G46" s="498"/>
      <c r="H46" s="498"/>
      <c r="I46" s="498"/>
      <c r="J46" s="498"/>
      <c r="K46" s="498"/>
      <c r="L46" s="498"/>
      <c r="M46" s="498"/>
      <c r="N46" s="498"/>
      <c r="O46" s="498"/>
      <c r="P46" s="498"/>
      <c r="Q46" s="498"/>
      <c r="R46" s="498"/>
      <c r="S46" s="498"/>
      <c r="T46" s="498"/>
      <c r="U46" s="498"/>
      <c r="V46" s="498"/>
      <c r="W46" s="498"/>
      <c r="X46" s="498"/>
      <c r="Y46" s="498"/>
      <c r="Z46" s="498"/>
      <c r="AA46" s="498"/>
      <c r="AB46" s="498"/>
      <c r="AC46" s="498"/>
    </row>
    <row r="47" spans="1:29">
      <c r="A47" s="498"/>
      <c r="B47" s="498"/>
      <c r="C47" s="498"/>
      <c r="D47" s="498"/>
      <c r="E47" s="498"/>
      <c r="F47" s="498"/>
      <c r="G47" s="498"/>
      <c r="H47" s="498"/>
      <c r="I47" s="498"/>
      <c r="J47" s="498"/>
      <c r="K47" s="498"/>
      <c r="L47" s="498"/>
      <c r="M47" s="498"/>
      <c r="N47" s="498"/>
      <c r="O47" s="498"/>
      <c r="P47" s="498"/>
      <c r="Q47" s="498"/>
      <c r="R47" s="498"/>
      <c r="S47" s="498"/>
      <c r="T47" s="498"/>
      <c r="U47" s="498"/>
      <c r="V47" s="498"/>
      <c r="W47" s="498"/>
      <c r="X47" s="498"/>
      <c r="Y47" s="498"/>
      <c r="Z47" s="498"/>
      <c r="AA47" s="498"/>
      <c r="AB47" s="498"/>
      <c r="AC47" s="498"/>
    </row>
    <row r="48" spans="1:29">
      <c r="A48" s="498"/>
      <c r="B48" s="498"/>
      <c r="C48" s="498"/>
      <c r="D48" s="498"/>
      <c r="E48" s="498"/>
      <c r="F48" s="498"/>
      <c r="G48" s="498"/>
      <c r="H48" s="498"/>
      <c r="I48" s="498"/>
      <c r="J48" s="498"/>
      <c r="K48" s="498"/>
      <c r="L48" s="498"/>
      <c r="M48" s="498"/>
      <c r="N48" s="498"/>
      <c r="O48" s="498"/>
      <c r="P48" s="498"/>
      <c r="Q48" s="498"/>
      <c r="R48" s="498"/>
      <c r="S48" s="498"/>
      <c r="T48" s="498"/>
      <c r="U48" s="498"/>
      <c r="V48" s="498"/>
      <c r="W48" s="498"/>
      <c r="X48" s="498"/>
      <c r="Y48" s="498"/>
      <c r="Z48" s="498"/>
      <c r="AA48" s="498"/>
      <c r="AB48" s="498"/>
      <c r="AC48" s="498"/>
    </row>
    <row r="49" spans="1:29">
      <c r="A49" s="498"/>
      <c r="B49" s="498"/>
      <c r="C49" s="498"/>
      <c r="D49" s="498"/>
      <c r="E49" s="498"/>
      <c r="F49" s="498"/>
      <c r="G49" s="498"/>
      <c r="H49" s="498"/>
      <c r="I49" s="498"/>
      <c r="J49" s="498"/>
      <c r="K49" s="498"/>
      <c r="L49" s="498"/>
      <c r="M49" s="498"/>
      <c r="N49" s="498"/>
      <c r="O49" s="498"/>
      <c r="P49" s="498"/>
      <c r="Q49" s="498"/>
      <c r="R49" s="498"/>
      <c r="S49" s="498"/>
      <c r="T49" s="498"/>
      <c r="U49" s="498"/>
      <c r="V49" s="498"/>
      <c r="W49" s="498"/>
      <c r="X49" s="498"/>
      <c r="Y49" s="498"/>
      <c r="Z49" s="498"/>
      <c r="AA49" s="498"/>
      <c r="AB49" s="498"/>
      <c r="AC49" s="498"/>
    </row>
    <row r="50" spans="1:29">
      <c r="A50" s="498"/>
      <c r="B50" s="498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P50" s="498"/>
      <c r="Q50" s="498"/>
      <c r="R50" s="498"/>
      <c r="S50" s="498"/>
      <c r="T50" s="498"/>
      <c r="U50" s="498"/>
      <c r="V50" s="498"/>
      <c r="W50" s="498"/>
      <c r="X50" s="498"/>
      <c r="Y50" s="498"/>
      <c r="Z50" s="498"/>
      <c r="AA50" s="498"/>
      <c r="AB50" s="498"/>
      <c r="AC50" s="498"/>
    </row>
    <row r="51" spans="1:29">
      <c r="A51" s="498"/>
      <c r="B51" s="498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</row>
    <row r="52" spans="1:29">
      <c r="A52" s="498"/>
      <c r="B52" s="498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</row>
    <row r="53" spans="1:29">
      <c r="A53" s="498"/>
      <c r="B53" s="498"/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  <c r="Z53" s="498"/>
      <c r="AA53" s="498"/>
      <c r="AB53" s="498"/>
      <c r="AC53" s="498"/>
    </row>
    <row r="54" spans="1:29">
      <c r="A54" s="498"/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Z54" s="498"/>
      <c r="AA54" s="498"/>
      <c r="AB54" s="498"/>
      <c r="AC54" s="498"/>
    </row>
    <row r="55" spans="1:29">
      <c r="A55" s="498"/>
      <c r="B55" s="498"/>
      <c r="C55" s="498"/>
      <c r="D55" s="498"/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  <c r="Z55" s="498"/>
      <c r="AA55" s="498"/>
      <c r="AB55" s="498"/>
      <c r="AC55" s="498"/>
    </row>
    <row r="56" spans="1:29">
      <c r="A56" s="498"/>
      <c r="B56" s="498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  <c r="Z56" s="498"/>
      <c r="AA56" s="498"/>
      <c r="AB56" s="498"/>
      <c r="AC56" s="498"/>
    </row>
    <row r="57" spans="1:29">
      <c r="A57" s="498"/>
      <c r="B57" s="498"/>
      <c r="C57" s="498"/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  <c r="Z57" s="498"/>
      <c r="AA57" s="498"/>
      <c r="AB57" s="498"/>
      <c r="AC57" s="498"/>
    </row>
  </sheetData>
  <sheetProtection algorithmName="SHA-512" hashValue="3eBrxKKiifEGU4LPrvLQZ4RCCi3wkFFnM1sIx0Md1WNHBXtHQoFNAFftEcIusvmliZMgXbbL/0vC6qnoawkVyQ==" saltValue="N+a6xQJEOKpRifWAaOI7nQ==" spinCount="100000" sheet="1" objects="1" formatCells="0" formatColumns="0" formatRows="0"/>
  <mergeCells count="13">
    <mergeCell ref="B37:B38"/>
    <mergeCell ref="K3:T3"/>
    <mergeCell ref="K4:T4"/>
    <mergeCell ref="K6:T6"/>
    <mergeCell ref="L7:T7"/>
    <mergeCell ref="B17:B18"/>
    <mergeCell ref="B4:C4"/>
    <mergeCell ref="B5:C5"/>
    <mergeCell ref="B6:C6"/>
    <mergeCell ref="B7:C7"/>
    <mergeCell ref="R10:Z10"/>
    <mergeCell ref="R12:Z12"/>
    <mergeCell ref="R11:Z11"/>
  </mergeCells>
  <phoneticPr fontId="8"/>
  <conditionalFormatting sqref="E7:F7">
    <cfRule type="expression" dxfId="44" priority="6">
      <formula>$E$1="なし"</formula>
    </cfRule>
  </conditionalFormatting>
  <conditionalFormatting sqref="L7:T7">
    <cfRule type="cellIs" dxfId="43" priority="1" operator="notEqual">
      <formula>"ー"</formula>
    </cfRule>
  </conditionalFormatting>
  <conditionalFormatting sqref="Q20">
    <cfRule type="cellIs" dxfId="42" priority="5" operator="greaterThan">
      <formula>$D$20</formula>
    </cfRule>
  </conditionalFormatting>
  <conditionalFormatting sqref="Q40">
    <cfRule type="cellIs" dxfId="41" priority="2" operator="greaterThan">
      <formula>$D$40</formula>
    </cfRule>
  </conditionalFormatting>
  <dataValidations count="1">
    <dataValidation type="list" allowBlank="1" showInputMessage="1" showErrorMessage="1" sqref="E21:E30 R21:R30" xr:uid="{594B866D-7C91-48CF-9479-A6953ECAAFE4}">
      <formula1>"単相,三相"</formula1>
    </dataValidation>
  </dataValidations>
  <hyperlinks>
    <hyperlink ref="R10" display="https://www.enecho.meti.go.jp/category/saving_and_new/saving/enterprise/equipment/" xr:uid="{00000000-0004-0000-0600-000000000000}"/>
    <hyperlink ref="R11" location="search" display="https://sii.or.jp/setsubi07r/search/maker?tab=maker&amp;category=transformer#search" xr:uid="{3EFBF154-258E-48A7-8A8A-F91457E1C395}"/>
    <hyperlink ref="R12:Y12" display="https://www.env.go.jp/policy/hozen/green/g-law/index.html" xr:uid="{48C62BAF-71F6-4AB8-8DF3-8A3C46865830}"/>
  </hyperlinks>
  <pageMargins left="0.70866141732283472" right="0.70866141732283472" top="0.74803149606299213" bottom="0.74803149606299213" header="0.31496062992125984" footer="0.31496062992125984"/>
  <pageSetup paperSize="8" scale="65" fitToHeight="0" orientation="landscape" r:id="rId1"/>
  <ignoredErrors>
    <ignoredError sqref="E20 R20 V20:W20 I20" formula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BB16C-DB1A-4058-B2C4-7D971393A3B3}">
  <sheetPr>
    <pageSetUpPr fitToPage="1"/>
  </sheetPr>
  <dimension ref="A1:AG65"/>
  <sheetViews>
    <sheetView topLeftCell="D1" zoomScale="70" zoomScaleNormal="70" zoomScaleSheetLayoutView="70" workbookViewId="0">
      <selection activeCell="P24" sqref="P24"/>
    </sheetView>
  </sheetViews>
  <sheetFormatPr defaultColWidth="8.875" defaultRowHeight="18.75"/>
  <cols>
    <col min="1" max="1" width="3.625" customWidth="1"/>
    <col min="2" max="2" width="6.875" customWidth="1"/>
    <col min="3" max="3" width="11" customWidth="1"/>
    <col min="4" max="4" width="26.75" customWidth="1"/>
    <col min="5" max="5" width="10.75" customWidth="1"/>
    <col min="6" max="11" width="10.125" customWidth="1"/>
    <col min="12" max="12" width="10.125" hidden="1" customWidth="1"/>
    <col min="13" max="15" width="10.125" customWidth="1"/>
    <col min="16" max="16" width="25" customWidth="1"/>
    <col min="17" max="17" width="11.375" customWidth="1"/>
    <col min="18" max="30" width="10.125" customWidth="1"/>
  </cols>
  <sheetData>
    <row r="1" spans="1:33" ht="30">
      <c r="A1" s="11" t="s">
        <v>1183</v>
      </c>
      <c r="F1" s="110"/>
      <c r="I1" s="110"/>
      <c r="L1" s="74"/>
    </row>
    <row r="2" spans="1:33" ht="33">
      <c r="A2" s="11" t="s">
        <v>1179</v>
      </c>
      <c r="I2" s="396"/>
    </row>
    <row r="3" spans="1:33" ht="24">
      <c r="B3" s="126" t="s">
        <v>837</v>
      </c>
      <c r="L3" s="219"/>
      <c r="M3" s="219"/>
      <c r="N3" s="219"/>
      <c r="O3" s="219"/>
      <c r="P3" s="219"/>
      <c r="Q3" s="219"/>
      <c r="R3" s="715" t="str">
        <f>IF(AND(OR(T8="なし",T8=""),OR(U8="なし",U8="")),"特記事項","特記事項（記載必須）")</f>
        <v>特記事項</v>
      </c>
      <c r="S3" s="716"/>
      <c r="T3" s="716"/>
      <c r="U3" s="716"/>
      <c r="V3" s="716"/>
      <c r="W3" s="716"/>
      <c r="X3" s="716"/>
      <c r="Y3" s="717"/>
    </row>
    <row r="4" spans="1:33">
      <c r="B4" s="700" t="s">
        <v>17</v>
      </c>
      <c r="C4" s="701"/>
      <c r="D4" s="59" t="s">
        <v>18</v>
      </c>
      <c r="E4" s="38" t="s">
        <v>19</v>
      </c>
      <c r="F4" s="38" t="s">
        <v>20</v>
      </c>
      <c r="G4" s="38" t="s">
        <v>21</v>
      </c>
      <c r="L4" s="373"/>
      <c r="M4" s="373"/>
      <c r="N4" s="373"/>
      <c r="O4" s="373"/>
      <c r="P4" s="373"/>
      <c r="Q4" s="373"/>
      <c r="R4" s="718" t="s">
        <v>904</v>
      </c>
      <c r="S4" s="719"/>
      <c r="T4" s="719"/>
      <c r="U4" s="719"/>
      <c r="V4" s="719"/>
      <c r="W4" s="719"/>
      <c r="X4" s="719"/>
      <c r="Y4" s="720"/>
    </row>
    <row r="5" spans="1:33">
      <c r="B5" s="669" t="s">
        <v>23</v>
      </c>
      <c r="C5" s="670"/>
      <c r="D5" s="38" t="s">
        <v>16</v>
      </c>
      <c r="E5" s="141">
        <f>M23</f>
        <v>0</v>
      </c>
      <c r="F5" s="141">
        <f>U23</f>
        <v>0</v>
      </c>
      <c r="G5" s="289">
        <f>Y23</f>
        <v>0</v>
      </c>
      <c r="J5" s="135"/>
    </row>
    <row r="6" spans="1:33" ht="18.75" customHeight="1">
      <c r="B6" s="702" t="s">
        <v>1</v>
      </c>
      <c r="C6" s="703"/>
      <c r="D6" s="62" t="s">
        <v>5</v>
      </c>
      <c r="E6" s="36">
        <f>N23</f>
        <v>0</v>
      </c>
      <c r="F6" s="36">
        <f>W23</f>
        <v>0</v>
      </c>
      <c r="G6" s="316">
        <f>ROUND(Z23,1)</f>
        <v>0</v>
      </c>
      <c r="H6" s="146"/>
      <c r="I6" s="267"/>
      <c r="L6" s="52"/>
      <c r="M6" s="52"/>
      <c r="N6" s="52"/>
      <c r="O6" s="52"/>
      <c r="P6" s="52"/>
      <c r="Q6" s="52"/>
      <c r="R6" s="721" t="s">
        <v>334</v>
      </c>
      <c r="S6" s="722"/>
      <c r="T6" s="722"/>
      <c r="U6" s="722"/>
      <c r="V6" s="722"/>
      <c r="W6" s="722"/>
      <c r="X6" s="722"/>
      <c r="Y6" s="722"/>
      <c r="Z6" s="722"/>
      <c r="AA6" s="723"/>
    </row>
    <row r="7" spans="1:33" ht="18.75" customHeight="1">
      <c r="B7" s="702" t="s">
        <v>969</v>
      </c>
      <c r="C7" s="703"/>
      <c r="D7" s="89" t="s">
        <v>24</v>
      </c>
      <c r="E7" s="100">
        <f>O23</f>
        <v>0</v>
      </c>
      <c r="F7" s="100">
        <f>X23</f>
        <v>0</v>
      </c>
      <c r="G7" s="153">
        <f>ROUND(AA23,1)</f>
        <v>0</v>
      </c>
      <c r="R7" s="673" t="s">
        <v>17</v>
      </c>
      <c r="S7" s="673"/>
      <c r="T7" s="89" t="s">
        <v>1160</v>
      </c>
      <c r="U7" s="89" t="s">
        <v>1161</v>
      </c>
      <c r="V7" s="726" t="str">
        <f>IF(OR(OR(T8="",U8=""),AND(T8="なし",U8="なし")),"ー",IF(COUNTIF(T8:U8,"増加")&gt;0,"やむを得ず増加する場合は特記事項欄に理由を明記してください。(要根拠資料提出)","減少する理由を特記事項欄に明記してください。"))</f>
        <v>ー</v>
      </c>
      <c r="W7" s="727"/>
      <c r="X7" s="727"/>
      <c r="Y7" s="727"/>
      <c r="Z7" s="727"/>
      <c r="AA7" s="728"/>
    </row>
    <row r="8" spans="1:33">
      <c r="B8" s="221" t="s">
        <v>916</v>
      </c>
      <c r="R8" s="724" t="s">
        <v>1162</v>
      </c>
      <c r="S8" s="724"/>
      <c r="T8" s="403" t="str">
        <f>IF(OR(G23=0,R23=0),"",IF(G23=R23,"なし",IF(G23&gt;R23,"減少","増加")))</f>
        <v/>
      </c>
      <c r="U8" s="403" t="str">
        <f>IF(OR(H23=0,S23=0),"",IF(H23=S23,"なし",IF(H23&gt;S23,"減少","増加")))</f>
        <v/>
      </c>
      <c r="V8" s="729"/>
      <c r="W8" s="730"/>
      <c r="X8" s="730"/>
      <c r="Y8" s="730"/>
      <c r="Z8" s="730"/>
      <c r="AA8" s="731"/>
    </row>
    <row r="9" spans="1:33">
      <c r="D9" s="15"/>
      <c r="E9" s="56"/>
      <c r="R9" s="725"/>
      <c r="S9" s="725"/>
      <c r="T9" s="404"/>
      <c r="U9" s="404"/>
      <c r="V9" s="402"/>
      <c r="W9" s="402"/>
      <c r="X9" s="402"/>
      <c r="Y9" s="402"/>
      <c r="Z9" s="402"/>
      <c r="AA9" s="402"/>
    </row>
    <row r="10" spans="1:33">
      <c r="A10" s="15"/>
      <c r="D10" s="15"/>
    </row>
    <row r="11" spans="1:33" ht="19.5" thickBot="1">
      <c r="A11" s="15"/>
      <c r="D11" s="15"/>
    </row>
    <row r="12" spans="1:33">
      <c r="A12" s="15"/>
      <c r="D12" s="15"/>
      <c r="R12" s="222" t="s">
        <v>1009</v>
      </c>
      <c r="S12" s="136"/>
      <c r="T12" s="136"/>
      <c r="U12" s="223"/>
      <c r="V12" s="223"/>
      <c r="W12" s="756" t="s">
        <v>1008</v>
      </c>
      <c r="X12" s="745"/>
      <c r="Y12" s="745"/>
      <c r="Z12" s="745"/>
      <c r="AA12" s="745"/>
      <c r="AB12" s="745"/>
      <c r="AC12" s="745"/>
      <c r="AD12" s="745"/>
      <c r="AE12" s="745"/>
      <c r="AF12" s="745"/>
      <c r="AG12" s="746"/>
    </row>
    <row r="13" spans="1:33">
      <c r="A13" s="15"/>
      <c r="D13" s="15"/>
      <c r="R13" s="311" t="s">
        <v>1017</v>
      </c>
      <c r="S13" s="309"/>
      <c r="T13" s="309"/>
      <c r="U13" s="310"/>
      <c r="V13" s="310"/>
      <c r="W13" s="757" t="s">
        <v>1010</v>
      </c>
      <c r="X13" s="748"/>
      <c r="Y13" s="748"/>
      <c r="Z13" s="748"/>
      <c r="AA13" s="748"/>
      <c r="AB13" s="748"/>
      <c r="AC13" s="748"/>
      <c r="AD13" s="748"/>
      <c r="AE13" s="748"/>
      <c r="AF13" s="748"/>
      <c r="AG13" s="749"/>
    </row>
    <row r="14" spans="1:33" ht="19.5" thickBot="1">
      <c r="A14" s="15"/>
      <c r="D14" s="15"/>
      <c r="R14" s="226" t="s">
        <v>1011</v>
      </c>
      <c r="S14" s="143"/>
      <c r="T14" s="143"/>
      <c r="U14" s="258"/>
      <c r="V14" s="258"/>
      <c r="W14" s="758" t="s">
        <v>1103</v>
      </c>
      <c r="X14" s="751"/>
      <c r="Y14" s="751"/>
      <c r="Z14" s="751"/>
      <c r="AA14" s="751"/>
      <c r="AB14" s="751"/>
      <c r="AC14" s="751"/>
      <c r="AD14" s="751"/>
      <c r="AE14" s="751"/>
      <c r="AF14" s="751"/>
      <c r="AG14" s="752"/>
    </row>
    <row r="15" spans="1:33">
      <c r="A15" s="15"/>
      <c r="D15" s="15"/>
      <c r="M15" s="219"/>
      <c r="P15" s="213"/>
      <c r="Q15" s="213"/>
      <c r="R15" s="322"/>
      <c r="S15" s="213"/>
      <c r="U15" s="322"/>
      <c r="W15" s="216"/>
      <c r="X15" s="216"/>
      <c r="Y15" s="216"/>
    </row>
    <row r="16" spans="1:33">
      <c r="A16" s="15"/>
      <c r="B16" s="31"/>
      <c r="C16" s="15"/>
      <c r="K16" s="219"/>
    </row>
    <row r="17" spans="1:27">
      <c r="A17" s="15"/>
      <c r="B17" s="31"/>
      <c r="C17" s="15"/>
      <c r="K17" s="219"/>
    </row>
    <row r="18" spans="1:27">
      <c r="A18" s="15"/>
      <c r="B18" s="31"/>
      <c r="C18" s="15"/>
      <c r="J18" s="219"/>
    </row>
    <row r="19" spans="1:27">
      <c r="B19" s="229" t="str">
        <f>HYPERLINK("#", "【記入例：B44】ハイパーリンク")</f>
        <v>【記入例：B44】ハイパーリンク</v>
      </c>
    </row>
    <row r="20" spans="1:27">
      <c r="B20" s="666" t="s">
        <v>17</v>
      </c>
      <c r="C20" s="64" t="s">
        <v>19</v>
      </c>
      <c r="D20" s="65"/>
      <c r="E20" s="65"/>
      <c r="F20" s="65"/>
      <c r="G20" s="65"/>
      <c r="H20" s="65"/>
      <c r="I20" s="65"/>
      <c r="J20" s="65"/>
      <c r="K20" s="65"/>
      <c r="L20" s="65"/>
      <c r="M20" s="139" t="s">
        <v>846</v>
      </c>
      <c r="N20" s="139"/>
      <c r="O20" s="132"/>
      <c r="P20" s="64" t="s">
        <v>20</v>
      </c>
      <c r="Q20" s="65"/>
      <c r="R20" s="65"/>
      <c r="S20" s="65"/>
      <c r="T20" s="65"/>
      <c r="U20" s="65"/>
      <c r="V20" s="131" t="s">
        <v>846</v>
      </c>
      <c r="W20" s="138"/>
      <c r="X20" s="66"/>
      <c r="Y20" s="64" t="s">
        <v>26</v>
      </c>
      <c r="Z20" s="65"/>
      <c r="AA20" s="66"/>
    </row>
    <row r="21" spans="1:27" ht="75">
      <c r="B21" s="661"/>
      <c r="C21" s="372" t="s">
        <v>1104</v>
      </c>
      <c r="D21" s="61" t="s">
        <v>833</v>
      </c>
      <c r="E21" s="61" t="s">
        <v>1059</v>
      </c>
      <c r="F21" s="72" t="s">
        <v>342</v>
      </c>
      <c r="G21" s="75" t="s">
        <v>1013</v>
      </c>
      <c r="H21" s="75" t="s">
        <v>1159</v>
      </c>
      <c r="I21" s="72" t="s">
        <v>1093</v>
      </c>
      <c r="J21" s="72" t="s">
        <v>1067</v>
      </c>
      <c r="K21" s="72" t="s">
        <v>1185</v>
      </c>
      <c r="L21" s="72" t="s">
        <v>1163</v>
      </c>
      <c r="M21" s="72" t="s">
        <v>1081</v>
      </c>
      <c r="N21" s="72" t="s">
        <v>1</v>
      </c>
      <c r="O21" s="72" t="s">
        <v>969</v>
      </c>
      <c r="P21" s="61" t="s">
        <v>833</v>
      </c>
      <c r="Q21" s="61" t="s">
        <v>1059</v>
      </c>
      <c r="R21" s="75" t="s">
        <v>1013</v>
      </c>
      <c r="S21" s="75" t="s">
        <v>1015</v>
      </c>
      <c r="T21" s="72" t="s">
        <v>1093</v>
      </c>
      <c r="U21" s="72" t="s">
        <v>1067</v>
      </c>
      <c r="V21" s="72" t="s">
        <v>1081</v>
      </c>
      <c r="W21" s="61" t="s">
        <v>1</v>
      </c>
      <c r="X21" s="61" t="s">
        <v>969</v>
      </c>
      <c r="Y21" s="61" t="s">
        <v>1040</v>
      </c>
      <c r="Z21" s="61" t="s">
        <v>1073</v>
      </c>
      <c r="AA21" s="61" t="s">
        <v>915</v>
      </c>
    </row>
    <row r="22" spans="1:27" ht="18" customHeight="1">
      <c r="B22" s="59" t="s">
        <v>18</v>
      </c>
      <c r="C22" s="89" t="s">
        <v>1106</v>
      </c>
      <c r="D22" s="85"/>
      <c r="E22" s="89" t="s">
        <v>38</v>
      </c>
      <c r="F22" s="89" t="s">
        <v>814</v>
      </c>
      <c r="G22" s="89" t="s">
        <v>1016</v>
      </c>
      <c r="H22" s="89" t="s">
        <v>1016</v>
      </c>
      <c r="I22" s="89" t="s">
        <v>98</v>
      </c>
      <c r="J22" s="89" t="s">
        <v>1177</v>
      </c>
      <c r="K22" s="89" t="s">
        <v>16</v>
      </c>
      <c r="L22" s="89" t="s">
        <v>41</v>
      </c>
      <c r="M22" s="89" t="s">
        <v>16</v>
      </c>
      <c r="N22" s="62" t="s">
        <v>5</v>
      </c>
      <c r="O22" s="89" t="s">
        <v>706</v>
      </c>
      <c r="P22" s="85"/>
      <c r="Q22" s="89" t="s">
        <v>38</v>
      </c>
      <c r="R22" s="89" t="s">
        <v>1016</v>
      </c>
      <c r="S22" s="89" t="s">
        <v>1016</v>
      </c>
      <c r="T22" s="89" t="s">
        <v>98</v>
      </c>
      <c r="U22" s="89" t="s">
        <v>1177</v>
      </c>
      <c r="V22" s="89" t="s">
        <v>16</v>
      </c>
      <c r="W22" s="62" t="s">
        <v>5</v>
      </c>
      <c r="X22" s="89" t="s">
        <v>706</v>
      </c>
      <c r="Y22" s="89" t="s">
        <v>16</v>
      </c>
      <c r="Z22" s="62" t="s">
        <v>5</v>
      </c>
      <c r="AA22" s="89" t="s">
        <v>706</v>
      </c>
    </row>
    <row r="23" spans="1:27">
      <c r="B23" s="71" t="s">
        <v>13</v>
      </c>
      <c r="C23" s="374" t="s">
        <v>1106</v>
      </c>
      <c r="D23" s="166"/>
      <c r="E23" s="458">
        <f>SUM(E24:E33)</f>
        <v>0</v>
      </c>
      <c r="F23" s="166"/>
      <c r="G23" s="384">
        <f>SUMPRODUCT(G24:G33,E24:E33)</f>
        <v>0</v>
      </c>
      <c r="H23" s="384">
        <f>SUMPRODUCT(H24:H33,E24:E33)</f>
        <v>0</v>
      </c>
      <c r="I23" s="486">
        <f>SUMPRODUCT(I24:I33,E24:E33)</f>
        <v>0</v>
      </c>
      <c r="J23" s="384">
        <f>SUMPRODUCT(J24:J33,E24:E33)</f>
        <v>0</v>
      </c>
      <c r="K23" s="375">
        <f>SUM(K24:K33)</f>
        <v>0</v>
      </c>
      <c r="L23" s="169"/>
      <c r="M23" s="360">
        <f>SUM(M24:M33)</f>
        <v>0</v>
      </c>
      <c r="N23" s="171">
        <f>SUM(N24:N33)</f>
        <v>0</v>
      </c>
      <c r="O23" s="172">
        <f>SUM(O24:O33)</f>
        <v>0</v>
      </c>
      <c r="P23" s="168"/>
      <c r="Q23" s="458">
        <f>SUM(Q24:Q33)</f>
        <v>0</v>
      </c>
      <c r="R23" s="384">
        <f>SUMPRODUCT(R24:R33,Q24:Q33)</f>
        <v>0</v>
      </c>
      <c r="S23" s="384">
        <f>SUMPRODUCT(S24:S33,Q24:Q33)</f>
        <v>0</v>
      </c>
      <c r="T23" s="486">
        <f>SUMPRODUCT(T24:T33,Q24:Q33)</f>
        <v>0</v>
      </c>
      <c r="U23" s="384">
        <f>SUMPRODUCT(U24:U33,Q24:Q33)</f>
        <v>0</v>
      </c>
      <c r="V23" s="360">
        <f t="shared" ref="V23:AA23" si="0">SUM(V24:V33)</f>
        <v>0</v>
      </c>
      <c r="W23" s="171">
        <f t="shared" si="0"/>
        <v>0</v>
      </c>
      <c r="X23" s="172">
        <f t="shared" si="0"/>
        <v>0</v>
      </c>
      <c r="Y23" s="457">
        <f t="shared" si="0"/>
        <v>0</v>
      </c>
      <c r="Z23" s="173">
        <f t="shared" si="0"/>
        <v>0</v>
      </c>
      <c r="AA23" s="174">
        <f t="shared" si="0"/>
        <v>0</v>
      </c>
    </row>
    <row r="24" spans="1:27">
      <c r="B24" s="59" t="s">
        <v>122</v>
      </c>
      <c r="C24" s="51"/>
      <c r="D24" s="1"/>
      <c r="E24" s="459"/>
      <c r="F24" s="1"/>
      <c r="G24" s="656"/>
      <c r="H24" s="656"/>
      <c r="I24" s="487"/>
      <c r="J24" s="446"/>
      <c r="K24" s="496" cm="1">
        <f t="array" ref="K24">IF(J24&lt;&gt;"",J24,_xlfn.IFS(C24="冷凍",I24*0.95,C24="冷蔵",I24*0.75,C24="冷凍冷蔵",I24*(0.75*H24+0.95*G24)/(G24+H24),TRUE,I24)*8760)</f>
        <v>0</v>
      </c>
      <c r="L24" s="378">
        <v>8760</v>
      </c>
      <c r="M24" s="361">
        <f>$K24*$E24*L24/(24*365)</f>
        <v>0</v>
      </c>
      <c r="N24" s="34">
        <f>M24*係数!$I$30</f>
        <v>0</v>
      </c>
      <c r="O24" s="105">
        <f>M24*係数!$C$30*0.0000258</f>
        <v>0</v>
      </c>
      <c r="P24" s="1"/>
      <c r="Q24" s="459"/>
      <c r="R24" s="376"/>
      <c r="S24" s="376"/>
      <c r="T24" s="487"/>
      <c r="U24" s="446"/>
      <c r="V24" s="361">
        <f t="shared" ref="V24:V33" si="1">$U24*$Q24*L24/(24*365)</f>
        <v>0</v>
      </c>
      <c r="W24" s="34">
        <f>V24*係数!$I$30</f>
        <v>0</v>
      </c>
      <c r="X24" s="105">
        <f>V24*係数!$C$30*0.0000258</f>
        <v>0</v>
      </c>
      <c r="Y24" s="461">
        <f>M24-V24</f>
        <v>0</v>
      </c>
      <c r="Z24" s="315">
        <f>N24-W24</f>
        <v>0</v>
      </c>
      <c r="AA24" s="137">
        <f>O24-X24</f>
        <v>0</v>
      </c>
    </row>
    <row r="25" spans="1:27">
      <c r="B25" s="59" t="s">
        <v>123</v>
      </c>
      <c r="C25" s="51"/>
      <c r="D25" s="1"/>
      <c r="E25" s="459"/>
      <c r="F25" s="1"/>
      <c r="G25" s="656"/>
      <c r="H25" s="656"/>
      <c r="I25" s="487"/>
      <c r="J25" s="446"/>
      <c r="K25" s="496" cm="1">
        <f t="array" ref="K25">IF(J25&lt;&gt;"",J25,_xlfn.IFS(C25="冷凍",I25*0.95,C25="冷蔵",I25*0.75,C25="冷凍冷蔵",I25*(0.75*H25+0.95*G25)/(G25+H25),TRUE,I25)*8760)</f>
        <v>0</v>
      </c>
      <c r="L25" s="378">
        <v>8760</v>
      </c>
      <c r="M25" s="361">
        <f t="shared" ref="M25:M33" si="2">$K25*$E25*L25/(24*365)</f>
        <v>0</v>
      </c>
      <c r="N25" s="34">
        <f>M25*係数!$I$30</f>
        <v>0</v>
      </c>
      <c r="O25" s="105">
        <f>M25*係数!$C$30*0.0000258</f>
        <v>0</v>
      </c>
      <c r="P25" s="1"/>
      <c r="Q25" s="459"/>
      <c r="R25" s="376"/>
      <c r="S25" s="376"/>
      <c r="T25" s="487"/>
      <c r="U25" s="446"/>
      <c r="V25" s="361">
        <f t="shared" si="1"/>
        <v>0</v>
      </c>
      <c r="W25" s="34">
        <f>V25*係数!$I$30</f>
        <v>0</v>
      </c>
      <c r="X25" s="105">
        <f>V25*係数!$C$30*0.0000258</f>
        <v>0</v>
      </c>
      <c r="Y25" s="461">
        <f t="shared" ref="Y25:AA33" si="3">M25-V25</f>
        <v>0</v>
      </c>
      <c r="Z25" s="315">
        <f t="shared" si="3"/>
        <v>0</v>
      </c>
      <c r="AA25" s="137">
        <f t="shared" si="3"/>
        <v>0</v>
      </c>
    </row>
    <row r="26" spans="1:27">
      <c r="B26" s="59" t="s">
        <v>124</v>
      </c>
      <c r="C26" s="51"/>
      <c r="D26" s="1"/>
      <c r="E26" s="459"/>
      <c r="F26" s="1"/>
      <c r="G26" s="656"/>
      <c r="H26" s="656"/>
      <c r="I26" s="487"/>
      <c r="J26" s="446"/>
      <c r="K26" s="496" cm="1">
        <f t="array" ref="K26">IF(J26&lt;&gt;"",J26,_xlfn.IFS(C26="冷凍",I26*0.95,C26="冷蔵",I26*0.75,C26="冷凍冷蔵",I26*(0.75*H26+0.95*G26)/(G26+H26),TRUE,I26)*8760)</f>
        <v>0</v>
      </c>
      <c r="L26" s="378">
        <v>8760</v>
      </c>
      <c r="M26" s="361">
        <f t="shared" si="2"/>
        <v>0</v>
      </c>
      <c r="N26" s="34">
        <f>M26*係数!$I$30</f>
        <v>0</v>
      </c>
      <c r="O26" s="105">
        <f>M26*係数!$C$30*0.0000258</f>
        <v>0</v>
      </c>
      <c r="P26" s="1"/>
      <c r="Q26" s="459"/>
      <c r="R26" s="376"/>
      <c r="S26" s="376"/>
      <c r="T26" s="487"/>
      <c r="U26" s="446"/>
      <c r="V26" s="361">
        <f t="shared" si="1"/>
        <v>0</v>
      </c>
      <c r="W26" s="34">
        <f>V26*係数!$I$30</f>
        <v>0</v>
      </c>
      <c r="X26" s="105">
        <f>V26*係数!$C$30*0.0000258</f>
        <v>0</v>
      </c>
      <c r="Y26" s="461">
        <f t="shared" si="3"/>
        <v>0</v>
      </c>
      <c r="Z26" s="315">
        <f t="shared" si="3"/>
        <v>0</v>
      </c>
      <c r="AA26" s="137">
        <f t="shared" si="3"/>
        <v>0</v>
      </c>
    </row>
    <row r="27" spans="1:27">
      <c r="B27" s="59" t="s">
        <v>125</v>
      </c>
      <c r="C27" s="51"/>
      <c r="D27" s="1"/>
      <c r="E27" s="459"/>
      <c r="F27" s="1"/>
      <c r="G27" s="376"/>
      <c r="H27" s="376"/>
      <c r="I27" s="487"/>
      <c r="J27" s="376"/>
      <c r="K27" s="496" cm="1">
        <f t="array" ref="K27">IF(J27&lt;&gt;"",J27,_xlfn.IFS(C27="冷凍",I27*0.95,C27="冷蔵",I27*0.75,C27="冷凍冷蔵",I27*(0.75*H27+0.95*G27)/(G27+H27),TRUE,I27)*8760)</f>
        <v>0</v>
      </c>
      <c r="L27" s="378">
        <v>8760</v>
      </c>
      <c r="M27" s="361">
        <f t="shared" si="2"/>
        <v>0</v>
      </c>
      <c r="N27" s="34">
        <f>M27*係数!$I$30</f>
        <v>0</v>
      </c>
      <c r="O27" s="105">
        <f>M27*係数!$C$30*0.0000258</f>
        <v>0</v>
      </c>
      <c r="P27" s="1"/>
      <c r="Q27" s="459"/>
      <c r="R27" s="376"/>
      <c r="S27" s="376"/>
      <c r="T27" s="487"/>
      <c r="U27" s="446"/>
      <c r="V27" s="361">
        <f t="shared" si="1"/>
        <v>0</v>
      </c>
      <c r="W27" s="34">
        <f>V27*係数!$I$30</f>
        <v>0</v>
      </c>
      <c r="X27" s="105">
        <f>V27*係数!$C$30*0.0000258</f>
        <v>0</v>
      </c>
      <c r="Y27" s="461">
        <f t="shared" si="3"/>
        <v>0</v>
      </c>
      <c r="Z27" s="315">
        <f t="shared" si="3"/>
        <v>0</v>
      </c>
      <c r="AA27" s="137">
        <f t="shared" si="3"/>
        <v>0</v>
      </c>
    </row>
    <row r="28" spans="1:27">
      <c r="B28" s="59" t="s">
        <v>126</v>
      </c>
      <c r="C28" s="51"/>
      <c r="D28" s="1"/>
      <c r="E28" s="459"/>
      <c r="F28" s="1"/>
      <c r="G28" s="376"/>
      <c r="H28" s="376"/>
      <c r="I28" s="487"/>
      <c r="J28" s="376"/>
      <c r="K28" s="496" cm="1">
        <f t="array" ref="K28">IF(J28&lt;&gt;"",J28,_xlfn.IFS(C28="冷凍",I28*0.95,C28="冷蔵",I28*0.75,C28="冷凍冷蔵",I28*(0.75*H28+0.95*G28)/(G28+H28),TRUE,I28)*8760)</f>
        <v>0</v>
      </c>
      <c r="L28" s="378">
        <v>8760</v>
      </c>
      <c r="M28" s="361">
        <f t="shared" si="2"/>
        <v>0</v>
      </c>
      <c r="N28" s="34">
        <f>M28*係数!$I$30</f>
        <v>0</v>
      </c>
      <c r="O28" s="105">
        <f>M28*係数!$C$30*0.0000258</f>
        <v>0</v>
      </c>
      <c r="P28" s="1"/>
      <c r="Q28" s="459"/>
      <c r="R28" s="376"/>
      <c r="S28" s="376"/>
      <c r="T28" s="487"/>
      <c r="U28" s="446"/>
      <c r="V28" s="361">
        <f t="shared" si="1"/>
        <v>0</v>
      </c>
      <c r="W28" s="34">
        <f>V28*係数!$I$30</f>
        <v>0</v>
      </c>
      <c r="X28" s="105">
        <f>V28*係数!$C$30*0.0000258</f>
        <v>0</v>
      </c>
      <c r="Y28" s="461">
        <f t="shared" si="3"/>
        <v>0</v>
      </c>
      <c r="Z28" s="315">
        <f t="shared" si="3"/>
        <v>0</v>
      </c>
      <c r="AA28" s="137">
        <f t="shared" si="3"/>
        <v>0</v>
      </c>
    </row>
    <row r="29" spans="1:27">
      <c r="B29" s="59" t="s">
        <v>127</v>
      </c>
      <c r="C29" s="51"/>
      <c r="D29" s="1"/>
      <c r="E29" s="459"/>
      <c r="F29" s="1"/>
      <c r="G29" s="376"/>
      <c r="H29" s="376"/>
      <c r="I29" s="487"/>
      <c r="J29" s="376"/>
      <c r="K29" s="496" cm="1">
        <f t="array" ref="K29">IF(J29&lt;&gt;"",J29,_xlfn.IFS(C29="冷凍",I29*0.95,C29="冷蔵",I29*0.75,C29="冷凍冷蔵",I29*(0.75*H29+0.95*G29)/(G29+H29),TRUE,I29)*8760)</f>
        <v>0</v>
      </c>
      <c r="L29" s="378">
        <v>8760</v>
      </c>
      <c r="M29" s="361">
        <f t="shared" si="2"/>
        <v>0</v>
      </c>
      <c r="N29" s="34">
        <f>M29*係数!$I$30</f>
        <v>0</v>
      </c>
      <c r="O29" s="105">
        <f>M29*係数!$C$30*0.0000258</f>
        <v>0</v>
      </c>
      <c r="P29" s="1"/>
      <c r="Q29" s="459"/>
      <c r="R29" s="376"/>
      <c r="S29" s="376"/>
      <c r="T29" s="487"/>
      <c r="U29" s="446"/>
      <c r="V29" s="361">
        <f t="shared" si="1"/>
        <v>0</v>
      </c>
      <c r="W29" s="34">
        <f>V29*係数!$I$30</f>
        <v>0</v>
      </c>
      <c r="X29" s="105">
        <f>V29*係数!$C$30*0.0000258</f>
        <v>0</v>
      </c>
      <c r="Y29" s="461">
        <f t="shared" si="3"/>
        <v>0</v>
      </c>
      <c r="Z29" s="315">
        <f t="shared" si="3"/>
        <v>0</v>
      </c>
      <c r="AA29" s="137">
        <f t="shared" si="3"/>
        <v>0</v>
      </c>
    </row>
    <row r="30" spans="1:27">
      <c r="B30" s="59" t="s">
        <v>128</v>
      </c>
      <c r="C30" s="51"/>
      <c r="D30" s="1"/>
      <c r="E30" s="459"/>
      <c r="F30" s="1"/>
      <c r="G30" s="376"/>
      <c r="H30" s="376"/>
      <c r="I30" s="487"/>
      <c r="J30" s="376"/>
      <c r="K30" s="496" cm="1">
        <f t="array" ref="K30">IF(J30&lt;&gt;"",J30,_xlfn.IFS(C30="冷凍",I30*0.95,C30="冷蔵",I30*0.75,C30="冷凍冷蔵",I30*(0.75*H30+0.95*G30)/(G30+H30),TRUE,I30)*8760)</f>
        <v>0</v>
      </c>
      <c r="L30" s="378">
        <v>8760</v>
      </c>
      <c r="M30" s="361">
        <f t="shared" si="2"/>
        <v>0</v>
      </c>
      <c r="N30" s="34">
        <f>M30*係数!$I$30</f>
        <v>0</v>
      </c>
      <c r="O30" s="105">
        <f>M30*係数!$C$30*0.0000258</f>
        <v>0</v>
      </c>
      <c r="P30" s="1"/>
      <c r="Q30" s="459"/>
      <c r="R30" s="376"/>
      <c r="S30" s="376"/>
      <c r="T30" s="487"/>
      <c r="U30" s="446"/>
      <c r="V30" s="361">
        <f t="shared" si="1"/>
        <v>0</v>
      </c>
      <c r="W30" s="34">
        <f>V30*係数!$I$30</f>
        <v>0</v>
      </c>
      <c r="X30" s="105">
        <f>V30*係数!$C$30*0.0000258</f>
        <v>0</v>
      </c>
      <c r="Y30" s="461">
        <f t="shared" si="3"/>
        <v>0</v>
      </c>
      <c r="Z30" s="315">
        <f t="shared" si="3"/>
        <v>0</v>
      </c>
      <c r="AA30" s="137">
        <f t="shared" si="3"/>
        <v>0</v>
      </c>
    </row>
    <row r="31" spans="1:27">
      <c r="B31" s="59" t="s">
        <v>129</v>
      </c>
      <c r="C31" s="51"/>
      <c r="D31" s="1"/>
      <c r="E31" s="459"/>
      <c r="F31" s="1"/>
      <c r="G31" s="376"/>
      <c r="H31" s="376"/>
      <c r="I31" s="487"/>
      <c r="J31" s="376"/>
      <c r="K31" s="496" cm="1">
        <f t="array" ref="K31">IF(J31&lt;&gt;"",J31,_xlfn.IFS(C31="冷凍",I31*0.95,C31="冷蔵",I31*0.75,C31="冷凍冷蔵",I31*(0.75*H31+0.95*G31)/(G31+H31),TRUE,I31)*8760)</f>
        <v>0</v>
      </c>
      <c r="L31" s="378">
        <v>8760</v>
      </c>
      <c r="M31" s="361">
        <f t="shared" si="2"/>
        <v>0</v>
      </c>
      <c r="N31" s="34">
        <f>M31*係数!$I$30</f>
        <v>0</v>
      </c>
      <c r="O31" s="105">
        <f>M31*係数!$C$30*0.0000258</f>
        <v>0</v>
      </c>
      <c r="P31" s="1"/>
      <c r="Q31" s="459"/>
      <c r="R31" s="376"/>
      <c r="S31" s="376"/>
      <c r="T31" s="487"/>
      <c r="U31" s="446"/>
      <c r="V31" s="361">
        <f t="shared" si="1"/>
        <v>0</v>
      </c>
      <c r="W31" s="34">
        <f>V31*係数!$I$30</f>
        <v>0</v>
      </c>
      <c r="X31" s="105">
        <f>V31*係数!$C$30*0.0000258</f>
        <v>0</v>
      </c>
      <c r="Y31" s="461">
        <f t="shared" si="3"/>
        <v>0</v>
      </c>
      <c r="Z31" s="315">
        <f t="shared" si="3"/>
        <v>0</v>
      </c>
      <c r="AA31" s="137">
        <f t="shared" si="3"/>
        <v>0</v>
      </c>
    </row>
    <row r="32" spans="1:27">
      <c r="B32" s="59" t="s">
        <v>130</v>
      </c>
      <c r="C32" s="51"/>
      <c r="D32" s="1"/>
      <c r="E32" s="459"/>
      <c r="F32" s="1"/>
      <c r="G32" s="376"/>
      <c r="H32" s="376"/>
      <c r="I32" s="487"/>
      <c r="J32" s="376"/>
      <c r="K32" s="496" cm="1">
        <f t="array" ref="K32">IF(J32&lt;&gt;"",J32,_xlfn.IFS(C32="冷凍",I32*0.95,C32="冷蔵",I32*0.75,C32="冷凍冷蔵",I32*(0.75*H32+0.95*G32)/(G32+H32),TRUE,I32)*8760)</f>
        <v>0</v>
      </c>
      <c r="L32" s="378">
        <v>8760</v>
      </c>
      <c r="M32" s="361">
        <f t="shared" si="2"/>
        <v>0</v>
      </c>
      <c r="N32" s="34">
        <f>M32*係数!$I$30</f>
        <v>0</v>
      </c>
      <c r="O32" s="105">
        <f>M32*係数!$C$30*0.0000258</f>
        <v>0</v>
      </c>
      <c r="P32" s="1"/>
      <c r="Q32" s="459"/>
      <c r="R32" s="376"/>
      <c r="S32" s="376"/>
      <c r="T32" s="487"/>
      <c r="U32" s="446"/>
      <c r="V32" s="361">
        <f t="shared" si="1"/>
        <v>0</v>
      </c>
      <c r="W32" s="34">
        <f>V32*係数!$I$30</f>
        <v>0</v>
      </c>
      <c r="X32" s="105">
        <f>V32*係数!$C$30*0.0000258</f>
        <v>0</v>
      </c>
      <c r="Y32" s="461">
        <f t="shared" si="3"/>
        <v>0</v>
      </c>
      <c r="Z32" s="315">
        <f t="shared" si="3"/>
        <v>0</v>
      </c>
      <c r="AA32" s="137">
        <f t="shared" si="3"/>
        <v>0</v>
      </c>
    </row>
    <row r="33" spans="1:27">
      <c r="B33" s="59" t="s">
        <v>131</v>
      </c>
      <c r="C33" s="51"/>
      <c r="D33" s="1"/>
      <c r="E33" s="459"/>
      <c r="F33" s="1"/>
      <c r="G33" s="376"/>
      <c r="H33" s="376"/>
      <c r="I33" s="487"/>
      <c r="J33" s="376"/>
      <c r="K33" s="496" cm="1">
        <f t="array" ref="K33">IF(J33&lt;&gt;"",J33,_xlfn.IFS(C33="冷凍",I33*0.95,C33="冷蔵",I33*0.75,C33="冷凍冷蔵",I33*(0.75*H33+0.95*G33)/(G33+H33),TRUE,I33)*8760)</f>
        <v>0</v>
      </c>
      <c r="L33" s="378">
        <v>8760</v>
      </c>
      <c r="M33" s="361">
        <f t="shared" si="2"/>
        <v>0</v>
      </c>
      <c r="N33" s="34">
        <f>M33*係数!$I$30</f>
        <v>0</v>
      </c>
      <c r="O33" s="105">
        <f>M33*係数!$C$30*0.0000258</f>
        <v>0</v>
      </c>
      <c r="P33" s="1"/>
      <c r="Q33" s="459"/>
      <c r="R33" s="376"/>
      <c r="S33" s="376"/>
      <c r="T33" s="487"/>
      <c r="U33" s="446"/>
      <c r="V33" s="361">
        <f t="shared" si="1"/>
        <v>0</v>
      </c>
      <c r="W33" s="34">
        <f>V33*係数!$I$30</f>
        <v>0</v>
      </c>
      <c r="X33" s="105">
        <f>V33*係数!$C$30*0.0000258</f>
        <v>0</v>
      </c>
      <c r="Y33" s="461">
        <f t="shared" si="3"/>
        <v>0</v>
      </c>
      <c r="Z33" s="315">
        <f t="shared" si="3"/>
        <v>0</v>
      </c>
      <c r="AA33" s="137">
        <f t="shared" si="3"/>
        <v>0</v>
      </c>
    </row>
    <row r="35" spans="1:27" ht="30">
      <c r="A35" s="497" t="s">
        <v>1180</v>
      </c>
      <c r="B35" s="498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8"/>
      <c r="AA35" s="498"/>
    </row>
    <row r="36" spans="1:27">
      <c r="A36" s="498"/>
      <c r="B36" s="498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</row>
    <row r="37" spans="1:27">
      <c r="A37" s="498"/>
      <c r="B37" s="498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  <c r="Z37" s="498"/>
      <c r="AA37" s="498"/>
    </row>
    <row r="38" spans="1:27">
      <c r="A38" s="498"/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8"/>
      <c r="AA38" s="498"/>
    </row>
    <row r="39" spans="1:27">
      <c r="A39" s="498"/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 t="s">
        <v>1039</v>
      </c>
      <c r="R39" s="498"/>
      <c r="S39" s="498"/>
      <c r="T39" s="498"/>
      <c r="U39" s="498"/>
      <c r="V39" s="498"/>
      <c r="W39" s="498"/>
      <c r="X39" s="498"/>
      <c r="Y39" s="498"/>
      <c r="Z39" s="498"/>
      <c r="AA39" s="498"/>
    </row>
    <row r="40" spans="1:27">
      <c r="A40" s="498"/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8"/>
      <c r="AA40" s="498"/>
    </row>
    <row r="41" spans="1:27">
      <c r="A41" s="498"/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</row>
    <row r="42" spans="1:27">
      <c r="A42" s="498"/>
      <c r="B42" s="498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8"/>
      <c r="AA42" s="498"/>
    </row>
    <row r="43" spans="1:27">
      <c r="A43" s="498"/>
      <c r="B43" s="254" t="str">
        <f>HYPERLINK("#", "【シートトップ】ハイパーリンク")</f>
        <v>【シートトップ】ハイパーリンク</v>
      </c>
      <c r="C43" s="498"/>
      <c r="D43" s="498"/>
      <c r="E43" s="498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8"/>
      <c r="AA43" s="498"/>
    </row>
    <row r="44" spans="1:27">
      <c r="A44" s="498"/>
      <c r="B44" s="713" t="s">
        <v>17</v>
      </c>
      <c r="C44" s="499" t="s">
        <v>19</v>
      </c>
      <c r="D44" s="500"/>
      <c r="E44" s="500"/>
      <c r="F44" s="500"/>
      <c r="G44" s="500"/>
      <c r="H44" s="500"/>
      <c r="I44" s="500"/>
      <c r="J44" s="500"/>
      <c r="K44" s="500"/>
      <c r="L44" s="500"/>
      <c r="M44" s="501" t="s">
        <v>846</v>
      </c>
      <c r="N44" s="501"/>
      <c r="O44" s="502"/>
      <c r="P44" s="503" t="s">
        <v>20</v>
      </c>
      <c r="Q44" s="504"/>
      <c r="R44" s="504"/>
      <c r="S44" s="504"/>
      <c r="T44" s="504"/>
      <c r="U44" s="504"/>
      <c r="V44" s="503" t="s">
        <v>846</v>
      </c>
      <c r="W44" s="503"/>
      <c r="X44" s="506"/>
      <c r="Y44" s="499" t="s">
        <v>26</v>
      </c>
      <c r="Z44" s="500"/>
      <c r="AA44" s="506"/>
    </row>
    <row r="45" spans="1:27" ht="56.25">
      <c r="A45" s="498"/>
      <c r="B45" s="714"/>
      <c r="C45" s="510" t="s">
        <v>1107</v>
      </c>
      <c r="D45" s="511" t="s">
        <v>833</v>
      </c>
      <c r="E45" s="510" t="s">
        <v>1059</v>
      </c>
      <c r="F45" s="511" t="s">
        <v>342</v>
      </c>
      <c r="G45" s="512" t="s">
        <v>1037</v>
      </c>
      <c r="H45" s="512" t="s">
        <v>1038</v>
      </c>
      <c r="I45" s="511" t="s">
        <v>1093</v>
      </c>
      <c r="J45" s="511" t="s">
        <v>1067</v>
      </c>
      <c r="K45" s="511" t="s">
        <v>1185</v>
      </c>
      <c r="L45" s="511" t="s">
        <v>1105</v>
      </c>
      <c r="M45" s="511" t="s">
        <v>1081</v>
      </c>
      <c r="N45" s="510" t="s">
        <v>1</v>
      </c>
      <c r="O45" s="510" t="s">
        <v>968</v>
      </c>
      <c r="P45" s="510" t="s">
        <v>833</v>
      </c>
      <c r="Q45" s="510" t="s">
        <v>1059</v>
      </c>
      <c r="R45" s="510" t="s">
        <v>1012</v>
      </c>
      <c r="S45" s="628" t="s">
        <v>1014</v>
      </c>
      <c r="T45" s="510" t="s">
        <v>1093</v>
      </c>
      <c r="U45" s="510" t="s">
        <v>1067</v>
      </c>
      <c r="V45" s="511" t="s">
        <v>1081</v>
      </c>
      <c r="W45" s="510" t="s">
        <v>1</v>
      </c>
      <c r="X45" s="510" t="s">
        <v>968</v>
      </c>
      <c r="Y45" s="510" t="s">
        <v>1040</v>
      </c>
      <c r="Z45" s="510" t="s">
        <v>1073</v>
      </c>
      <c r="AA45" s="510" t="s">
        <v>915</v>
      </c>
    </row>
    <row r="46" spans="1:27">
      <c r="A46" s="498"/>
      <c r="B46" s="513" t="s">
        <v>18</v>
      </c>
      <c r="C46" s="510" t="s">
        <v>1106</v>
      </c>
      <c r="D46" s="515"/>
      <c r="E46" s="514" t="s">
        <v>38</v>
      </c>
      <c r="F46" s="514" t="s">
        <v>814</v>
      </c>
      <c r="G46" s="514" t="s">
        <v>1016</v>
      </c>
      <c r="H46" s="514" t="s">
        <v>1016</v>
      </c>
      <c r="I46" s="514" t="s">
        <v>98</v>
      </c>
      <c r="J46" s="514" t="s">
        <v>1177</v>
      </c>
      <c r="K46" s="514" t="s">
        <v>16</v>
      </c>
      <c r="L46" s="514" t="s">
        <v>41</v>
      </c>
      <c r="M46" s="514" t="s">
        <v>16</v>
      </c>
      <c r="N46" s="516" t="s">
        <v>5</v>
      </c>
      <c r="O46" s="514" t="s">
        <v>706</v>
      </c>
      <c r="P46" s="515"/>
      <c r="Q46" s="514" t="s">
        <v>38</v>
      </c>
      <c r="R46" s="514" t="s">
        <v>1016</v>
      </c>
      <c r="S46" s="514" t="s">
        <v>1016</v>
      </c>
      <c r="T46" s="514" t="s">
        <v>98</v>
      </c>
      <c r="U46" s="514" t="s">
        <v>1177</v>
      </c>
      <c r="V46" s="514" t="s">
        <v>16</v>
      </c>
      <c r="W46" s="516" t="s">
        <v>5</v>
      </c>
      <c r="X46" s="514" t="s">
        <v>706</v>
      </c>
      <c r="Y46" s="514" t="s">
        <v>16</v>
      </c>
      <c r="Z46" s="516" t="s">
        <v>5</v>
      </c>
      <c r="AA46" s="514" t="s">
        <v>706</v>
      </c>
    </row>
    <row r="47" spans="1:27">
      <c r="A47" s="498"/>
      <c r="B47" s="517" t="s">
        <v>13</v>
      </c>
      <c r="C47" s="518" t="s">
        <v>1106</v>
      </c>
      <c r="D47" s="520"/>
      <c r="E47" s="657">
        <f>SUM(E48:E50)</f>
        <v>4</v>
      </c>
      <c r="F47" s="520"/>
      <c r="G47" s="384">
        <f>SUMPRODUCT(G48:G50,E48:E50)</f>
        <v>1254</v>
      </c>
      <c r="H47" s="384">
        <f>SUMPRODUCT(H48:H50,E48:E50)</f>
        <v>1860</v>
      </c>
      <c r="I47" s="486">
        <f>SUMPRODUCT(I48:I50,E48:E50)</f>
        <v>0.66</v>
      </c>
      <c r="J47" s="384">
        <f>SUMPRODUCT(J48:J50,E48:E50)</f>
        <v>3980</v>
      </c>
      <c r="K47" s="491">
        <f>SUM(K48:K50)</f>
        <v>4498.9901818181816</v>
      </c>
      <c r="L47" s="169"/>
      <c r="M47" s="492">
        <f>SUM(M48:M50)</f>
        <v>5017.9803636363631</v>
      </c>
      <c r="N47" s="523">
        <f t="shared" ref="N47:O47" si="4">SUM(N48:N50)</f>
        <v>2.2681271243636361</v>
      </c>
      <c r="O47" s="523">
        <f t="shared" si="4"/>
        <v>1.1185680388189092</v>
      </c>
      <c r="P47" s="519"/>
      <c r="Q47" s="657">
        <f>SUM(Q48:Q50)</f>
        <v>4</v>
      </c>
      <c r="R47" s="384">
        <f>SUMPRODUCT(R48:R50,Q48:Q50)</f>
        <v>1254</v>
      </c>
      <c r="S47" s="384">
        <f>SUMPRODUCT(S48:S50,Q48:Q50)</f>
        <v>1860</v>
      </c>
      <c r="T47" s="486">
        <f>SUMPRODUCT(T48:T50,Q48:Q50)</f>
        <v>0.57999999999999996</v>
      </c>
      <c r="U47" s="384">
        <f>SUMPRODUCT(U48:U50,Q48:Q50)</f>
        <v>4062</v>
      </c>
      <c r="V47" s="492">
        <f t="shared" ref="V47:AA47" si="5">SUM(V48:V50)</f>
        <v>4062</v>
      </c>
      <c r="W47" s="658">
        <f t="shared" si="5"/>
        <v>1.8360239999999999</v>
      </c>
      <c r="X47" s="658">
        <f t="shared" si="5"/>
        <v>0.9054685440000001</v>
      </c>
      <c r="Y47" s="492">
        <f t="shared" si="5"/>
        <v>955.98036363636356</v>
      </c>
      <c r="Z47" s="523">
        <f t="shared" si="5"/>
        <v>0.43210312436363629</v>
      </c>
      <c r="AA47" s="523">
        <f t="shared" si="5"/>
        <v>0.21309949481890914</v>
      </c>
    </row>
    <row r="48" spans="1:27">
      <c r="A48" s="498"/>
      <c r="B48" s="513" t="s">
        <v>122</v>
      </c>
      <c r="C48" s="524" t="s">
        <v>1172</v>
      </c>
      <c r="D48" s="526" t="s">
        <v>1041</v>
      </c>
      <c r="E48" s="652">
        <v>1</v>
      </c>
      <c r="F48" s="526">
        <v>2005</v>
      </c>
      <c r="G48" s="653">
        <v>1042</v>
      </c>
      <c r="H48" s="653">
        <v>0</v>
      </c>
      <c r="I48" s="529">
        <v>0.4</v>
      </c>
      <c r="J48" s="654">
        <v>3000</v>
      </c>
      <c r="K48" s="496" cm="1">
        <f t="array" ref="K48">IF(J48&lt;&gt;"",J48,_xlfn.IFS(C48="冷凍",I48*0.95,C48="冷蔵",I48*0.75,C48="冷凍冷蔵",I48*(0.75*H48+0.95*G48)/(G48+H48),TRUE,I48)*8760)</f>
        <v>3000</v>
      </c>
      <c r="L48" s="378">
        <v>8760</v>
      </c>
      <c r="M48" s="361">
        <f t="shared" ref="M48:M50" si="6">$K48*$E48*L48/(24*365)</f>
        <v>3000</v>
      </c>
      <c r="N48" s="538">
        <f>M48*係数!$I$30</f>
        <v>1.3559999999999999</v>
      </c>
      <c r="O48" s="460">
        <f>M48*係数!$C$30*0.0000258</f>
        <v>0.668736</v>
      </c>
      <c r="P48" s="526" t="s">
        <v>1046</v>
      </c>
      <c r="Q48" s="652">
        <v>1</v>
      </c>
      <c r="R48" s="655">
        <v>1042</v>
      </c>
      <c r="S48" s="655">
        <v>0</v>
      </c>
      <c r="T48" s="529">
        <v>0.35</v>
      </c>
      <c r="U48" s="654">
        <v>2500</v>
      </c>
      <c r="V48" s="361">
        <f t="shared" ref="V48:V50" si="7">$U48*$Q48*L48/(24*365)</f>
        <v>2500</v>
      </c>
      <c r="W48" s="659">
        <f>V48*係数!$I$30</f>
        <v>1.1299999999999999</v>
      </c>
      <c r="X48" s="462">
        <f>V48*係数!$C$30*0.0000258</f>
        <v>0.55728</v>
      </c>
      <c r="Y48" s="207">
        <f t="shared" ref="Y48:AA50" si="8">M48-V48</f>
        <v>500</v>
      </c>
      <c r="Z48" s="530">
        <f t="shared" si="8"/>
        <v>0.22599999999999998</v>
      </c>
      <c r="AA48" s="137">
        <f t="shared" si="8"/>
        <v>0.111456</v>
      </c>
    </row>
    <row r="49" spans="1:27">
      <c r="A49" s="498"/>
      <c r="B49" s="513" t="s">
        <v>123</v>
      </c>
      <c r="C49" s="524" t="s">
        <v>1118</v>
      </c>
      <c r="D49" s="526" t="s">
        <v>1043</v>
      </c>
      <c r="E49" s="652">
        <v>1</v>
      </c>
      <c r="F49" s="526">
        <v>2005</v>
      </c>
      <c r="G49" s="653">
        <v>0</v>
      </c>
      <c r="H49" s="653">
        <v>1632</v>
      </c>
      <c r="I49" s="529">
        <v>0.12</v>
      </c>
      <c r="J49" s="654">
        <v>980</v>
      </c>
      <c r="K49" s="496" cm="1">
        <f t="array" ref="K49">IF(J49&lt;&gt;"",J49,_xlfn.IFS(C49="冷凍",I49*0.95,C49="冷蔵",I49*0.75,C49="冷凍冷蔵",I49*(0.75*H49+0.95*G49)/(G49+H49),TRUE,I49)*8760)</f>
        <v>980</v>
      </c>
      <c r="L49" s="378">
        <v>8760</v>
      </c>
      <c r="M49" s="361">
        <f t="shared" si="6"/>
        <v>980</v>
      </c>
      <c r="N49" s="538">
        <f>M49*係数!$I$30</f>
        <v>0.44295999999999996</v>
      </c>
      <c r="O49" s="460">
        <f>M49*係数!$C$30*0.0000258</f>
        <v>0.21845376000000002</v>
      </c>
      <c r="P49" s="526" t="s">
        <v>1045</v>
      </c>
      <c r="Q49" s="652">
        <v>1</v>
      </c>
      <c r="R49" s="655">
        <v>0</v>
      </c>
      <c r="S49" s="655">
        <v>1632</v>
      </c>
      <c r="T49" s="529">
        <v>0.11</v>
      </c>
      <c r="U49" s="654">
        <v>650</v>
      </c>
      <c r="V49" s="361">
        <f t="shared" si="7"/>
        <v>650</v>
      </c>
      <c r="W49" s="659">
        <f>V49*係数!$I$30</f>
        <v>0.29380000000000001</v>
      </c>
      <c r="X49" s="462">
        <f>V49*係数!$C$30*0.0000258</f>
        <v>0.14489279999999999</v>
      </c>
      <c r="Y49" s="207">
        <f t="shared" si="8"/>
        <v>330</v>
      </c>
      <c r="Z49" s="530">
        <f t="shared" si="8"/>
        <v>0.14915999999999996</v>
      </c>
      <c r="AA49" s="137">
        <f t="shared" si="8"/>
        <v>7.3560960000000036E-2</v>
      </c>
    </row>
    <row r="50" spans="1:27">
      <c r="A50" s="498"/>
      <c r="B50" s="513" t="s">
        <v>124</v>
      </c>
      <c r="C50" s="524" t="s">
        <v>1173</v>
      </c>
      <c r="D50" s="526" t="s">
        <v>1042</v>
      </c>
      <c r="E50" s="652">
        <v>2</v>
      </c>
      <c r="F50" s="526">
        <v>2010</v>
      </c>
      <c r="G50" s="653">
        <v>106</v>
      </c>
      <c r="H50" s="653">
        <v>114</v>
      </c>
      <c r="I50" s="529">
        <v>7.0000000000000007E-2</v>
      </c>
      <c r="J50" s="654"/>
      <c r="K50" s="496" cm="1">
        <f t="array" ref="K50">IF(J50&lt;&gt;"",J50,_xlfn.IFS(C50="冷凍",I50*0.95,C50="冷蔵",I50*0.75,C50="冷凍冷蔵",I50*(0.75*H50+0.95*G50)/(G50+H50),TRUE,I50)*8760)</f>
        <v>518.99018181818178</v>
      </c>
      <c r="L50" s="378">
        <v>8760</v>
      </c>
      <c r="M50" s="361">
        <f t="shared" si="6"/>
        <v>1037.9803636363636</v>
      </c>
      <c r="N50" s="538">
        <f>M50*係数!$I$30</f>
        <v>0.46916712436363633</v>
      </c>
      <c r="O50" s="460">
        <f>M50*係数!$C$30*0.0000258</f>
        <v>0.2313782788189091</v>
      </c>
      <c r="P50" s="526" t="s">
        <v>1044</v>
      </c>
      <c r="Q50" s="652">
        <v>2</v>
      </c>
      <c r="R50" s="655">
        <v>106</v>
      </c>
      <c r="S50" s="655">
        <v>114</v>
      </c>
      <c r="T50" s="529">
        <v>0.06</v>
      </c>
      <c r="U50" s="654">
        <v>456</v>
      </c>
      <c r="V50" s="361">
        <f t="shared" si="7"/>
        <v>912</v>
      </c>
      <c r="W50" s="659">
        <f>V50*係数!$I$30</f>
        <v>0.41222399999999998</v>
      </c>
      <c r="X50" s="462">
        <f>V50*係数!$C$30*0.0000258</f>
        <v>0.203295744</v>
      </c>
      <c r="Y50" s="207">
        <f t="shared" si="8"/>
        <v>125.98036363636356</v>
      </c>
      <c r="Z50" s="530">
        <f t="shared" si="8"/>
        <v>5.6943124363636355E-2</v>
      </c>
      <c r="AA50" s="137">
        <f t="shared" si="8"/>
        <v>2.80825348189091E-2</v>
      </c>
    </row>
    <row r="51" spans="1:27">
      <c r="A51" s="498"/>
      <c r="B51" s="498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</row>
    <row r="52" spans="1:27">
      <c r="A52" s="498"/>
      <c r="B52" s="498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</row>
    <row r="53" spans="1:27">
      <c r="A53" s="498"/>
      <c r="B53" s="498"/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  <c r="Z53" s="498"/>
      <c r="AA53" s="498"/>
    </row>
    <row r="54" spans="1:27">
      <c r="A54" s="498"/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Z54" s="498"/>
      <c r="AA54" s="498"/>
    </row>
    <row r="55" spans="1:27">
      <c r="A55" s="498"/>
      <c r="B55" s="498"/>
      <c r="C55" s="498"/>
      <c r="D55" s="498"/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  <c r="Z55" s="498"/>
      <c r="AA55" s="498"/>
    </row>
    <row r="56" spans="1:27">
      <c r="A56" s="498"/>
      <c r="B56" s="498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  <c r="Z56" s="498"/>
      <c r="AA56" s="498"/>
    </row>
    <row r="57" spans="1:27">
      <c r="A57" s="498"/>
      <c r="B57" s="498"/>
      <c r="C57" s="498"/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  <c r="Z57" s="498"/>
      <c r="AA57" s="498"/>
    </row>
    <row r="58" spans="1:27">
      <c r="A58" s="498"/>
      <c r="B58" s="498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  <c r="Z58" s="498"/>
      <c r="AA58" s="498"/>
    </row>
    <row r="59" spans="1:27">
      <c r="A59" s="498"/>
      <c r="B59" s="498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  <c r="Z59" s="498"/>
      <c r="AA59" s="498"/>
    </row>
    <row r="60" spans="1:27">
      <c r="A60" s="498"/>
      <c r="B60" s="498"/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8"/>
      <c r="X60" s="498"/>
      <c r="Y60" s="498"/>
      <c r="Z60" s="498"/>
      <c r="AA60" s="498"/>
    </row>
    <row r="61" spans="1:27">
      <c r="A61" s="498"/>
      <c r="B61" s="498"/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  <c r="Z61" s="498"/>
      <c r="AA61" s="498"/>
    </row>
    <row r="62" spans="1:27">
      <c r="A62" s="498"/>
      <c r="B62" s="498"/>
      <c r="C62" s="498"/>
      <c r="D62" s="498"/>
      <c r="E62" s="49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  <c r="Y62" s="498"/>
      <c r="Z62" s="498"/>
      <c r="AA62" s="498"/>
    </row>
    <row r="63" spans="1:27">
      <c r="A63" s="498"/>
      <c r="B63" s="498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</row>
    <row r="64" spans="1:27">
      <c r="A64" s="498"/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</row>
    <row r="65" spans="1:27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8"/>
      <c r="X65" s="498"/>
      <c r="Y65" s="498"/>
      <c r="Z65" s="498"/>
      <c r="AA65" s="498"/>
    </row>
  </sheetData>
  <sheetProtection algorithmName="SHA-512" hashValue="PEjRVKVsa1RwVLBmemVgq8MKGoX8xw2xv3WzBRzNPoBtj9Dw2rR9PFSWfIMLeiBy9+9uKrdVL8JegeVlrLyOkQ==" saltValue="OHT3/sKmbkB9bXLPY2WHfA==" spinCount="100000" sheet="1" objects="1" formatCells="0" formatColumns="0" formatRows="0"/>
  <mergeCells count="16">
    <mergeCell ref="B44:B45"/>
    <mergeCell ref="R3:Y3"/>
    <mergeCell ref="B4:C4"/>
    <mergeCell ref="R4:Y4"/>
    <mergeCell ref="B6:C6"/>
    <mergeCell ref="R6:AA6"/>
    <mergeCell ref="R7:S7"/>
    <mergeCell ref="R8:S8"/>
    <mergeCell ref="R9:S9"/>
    <mergeCell ref="B20:B21"/>
    <mergeCell ref="V7:AA8"/>
    <mergeCell ref="B5:C5"/>
    <mergeCell ref="B7:C7"/>
    <mergeCell ref="W12:AG12"/>
    <mergeCell ref="W13:AG13"/>
    <mergeCell ref="W14:AG14"/>
  </mergeCells>
  <phoneticPr fontId="8"/>
  <conditionalFormatting sqref="E7:F7">
    <cfRule type="expression" dxfId="40" priority="14">
      <formula>$E$1="なし"</formula>
    </cfRule>
  </conditionalFormatting>
  <conditionalFormatting sqref="F24:F33">
    <cfRule type="expression" dxfId="39" priority="1">
      <formula>#REF!&lt;&gt;"給湯器（HP）"</formula>
    </cfRule>
  </conditionalFormatting>
  <conditionalFormatting sqref="F48:F50">
    <cfRule type="expression" dxfId="38" priority="8">
      <formula>#REF!&lt;&gt;"給湯器（HP）"</formula>
    </cfRule>
  </conditionalFormatting>
  <conditionalFormatting sqref="J5">
    <cfRule type="expression" dxfId="37" priority="15">
      <formula>$E$1="なし"</formula>
    </cfRule>
  </conditionalFormatting>
  <conditionalFormatting sqref="J27:J33">
    <cfRule type="expression" dxfId="36" priority="4">
      <formula>$J27&gt;$I$24*8760</formula>
    </cfRule>
  </conditionalFormatting>
  <conditionalFormatting sqref="T9">
    <cfRule type="cellIs" dxfId="35" priority="12" operator="greaterThan">
      <formula>$T$8</formula>
    </cfRule>
  </conditionalFormatting>
  <conditionalFormatting sqref="T8:U8">
    <cfRule type="expression" dxfId="34" priority="2">
      <formula>OR($T$8="増加",$T$8="減少")</formula>
    </cfRule>
  </conditionalFormatting>
  <conditionalFormatting sqref="U9">
    <cfRule type="cellIs" dxfId="33" priority="11" operator="greaterThan">
      <formula>$U$8</formula>
    </cfRule>
  </conditionalFormatting>
  <conditionalFormatting sqref="V7">
    <cfRule type="cellIs" dxfId="32" priority="3" operator="notEqual">
      <formula>"ー"</formula>
    </cfRule>
  </conditionalFormatting>
  <conditionalFormatting sqref="X24:Y33">
    <cfRule type="expression" dxfId="31" priority="6">
      <formula>$D$1="なし"</formula>
    </cfRule>
  </conditionalFormatting>
  <conditionalFormatting sqref="X48:Y50">
    <cfRule type="expression" dxfId="30" priority="5">
      <formula>$D$1="なし"</formula>
    </cfRule>
  </conditionalFormatting>
  <conditionalFormatting sqref="AA24:AA33">
    <cfRule type="expression" dxfId="29" priority="13">
      <formula>$D$1="なし"</formula>
    </cfRule>
  </conditionalFormatting>
  <conditionalFormatting sqref="AA48:AA50">
    <cfRule type="expression" dxfId="28" priority="9">
      <formula>$D$1="なし"</formula>
    </cfRule>
  </conditionalFormatting>
  <dataValidations count="1">
    <dataValidation type="list" allowBlank="1" showInputMessage="1" showErrorMessage="1" sqref="C24:C33 C48:C50" xr:uid="{38FD1D0F-1D07-43C6-A11C-66177CA8BBA8}">
      <formula1>"　　,冷凍,冷蔵,冷凍冷蔵"</formula1>
    </dataValidation>
  </dataValidations>
  <hyperlinks>
    <hyperlink ref="W12" display="https://www.enecho.meti.go.jp/category/saving_and_new/saving/enterprise/equipment/toprunner/10_reizoko.html" xr:uid="{29F7B1A5-43D4-4395-8F72-D33B00D136BC}"/>
    <hyperlink ref="W13" display="https://www.enecho.meti.go.jp/category/saving_and_new/saving/enterprise/equipment/toprunner/11_reitoko.html" xr:uid="{146CA5B2-6B16-4708-863A-F689BB2A6814}"/>
    <hyperlink ref="W14" location="search" display="https://sii.or.jp/setsubi07r/search/maker?tab=maker&amp;category=refrigeration#search" xr:uid="{62EBCF7F-810E-47FA-9B8B-53AB5C67E8E7}"/>
  </hyperlinks>
  <pageMargins left="0.7" right="0.7" top="0.75" bottom="0.75" header="0.3" footer="0.3"/>
  <pageSetup paperSize="8" scale="49" fitToHeight="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11608-CEC7-492F-AC76-A18EE5D20E49}">
  <sheetPr>
    <pageSetUpPr fitToPage="1"/>
  </sheetPr>
  <dimension ref="A1:AG66"/>
  <sheetViews>
    <sheetView topLeftCell="C1" zoomScale="70" zoomScaleNormal="70" zoomScaleSheetLayoutView="70" workbookViewId="0">
      <selection activeCell="P26" sqref="P26"/>
    </sheetView>
  </sheetViews>
  <sheetFormatPr defaultColWidth="8.875" defaultRowHeight="18.75"/>
  <cols>
    <col min="1" max="1" width="3.625" customWidth="1"/>
    <col min="2" max="2" width="6.875" customWidth="1"/>
    <col min="3" max="3" width="30" customWidth="1"/>
    <col min="4" max="4" width="10.875" customWidth="1"/>
    <col min="5" max="5" width="10.25" customWidth="1"/>
    <col min="6" max="6" width="11.25" customWidth="1"/>
    <col min="7" max="7" width="30.875" customWidth="1"/>
    <col min="8" max="9" width="10.125" customWidth="1"/>
    <col min="10" max="10" width="10.125" hidden="1" customWidth="1"/>
    <col min="11" max="11" width="10.125" customWidth="1"/>
    <col min="12" max="12" width="12.25" customWidth="1"/>
    <col min="13" max="13" width="10.125" hidden="1" customWidth="1"/>
    <col min="14" max="14" width="12.5" hidden="1" customWidth="1"/>
    <col min="15" max="17" width="10.125" customWidth="1"/>
    <col min="18" max="18" width="35.375" customWidth="1"/>
    <col min="19" max="20" width="11.25" customWidth="1"/>
    <col min="21" max="22" width="10.125" customWidth="1"/>
    <col min="23" max="23" width="12.75" customWidth="1"/>
    <col min="24" max="24" width="10.125" hidden="1" customWidth="1"/>
    <col min="25" max="32" width="10.125" customWidth="1"/>
    <col min="34" max="34" width="9.25" customWidth="1"/>
  </cols>
  <sheetData>
    <row r="1" spans="1:33" ht="30">
      <c r="A1" s="11" t="s">
        <v>1183</v>
      </c>
      <c r="H1" s="110"/>
      <c r="K1" s="110"/>
      <c r="N1" s="74"/>
    </row>
    <row r="2" spans="1:33" ht="30">
      <c r="A2" s="11" t="s">
        <v>1182</v>
      </c>
    </row>
    <row r="3" spans="1:33" ht="24">
      <c r="B3" s="126" t="s">
        <v>837</v>
      </c>
      <c r="U3" s="735" t="str">
        <f>IF(OR(U8="なし",U8=""),"特記事項","特記事項（記載必須）")</f>
        <v>特記事項</v>
      </c>
      <c r="V3" s="735"/>
      <c r="W3" s="735"/>
      <c r="X3" s="735"/>
      <c r="Y3" s="735"/>
      <c r="Z3" s="735"/>
      <c r="AA3" s="735"/>
      <c r="AB3" s="735"/>
      <c r="AC3" s="735"/>
      <c r="AD3" s="735"/>
    </row>
    <row r="4" spans="1:33">
      <c r="B4" s="700" t="s">
        <v>17</v>
      </c>
      <c r="C4" s="701"/>
      <c r="D4" s="59" t="s">
        <v>18</v>
      </c>
      <c r="E4" s="38" t="s">
        <v>19</v>
      </c>
      <c r="F4" s="38" t="s">
        <v>20</v>
      </c>
      <c r="G4" s="38" t="s">
        <v>21</v>
      </c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704" t="s">
        <v>904</v>
      </c>
      <c r="V4" s="704"/>
      <c r="W4" s="704"/>
      <c r="X4" s="704"/>
      <c r="Y4" s="704"/>
      <c r="Z4" s="704"/>
      <c r="AA4" s="704"/>
      <c r="AB4" s="704"/>
      <c r="AC4" s="704"/>
      <c r="AD4" s="704"/>
    </row>
    <row r="5" spans="1:33">
      <c r="B5" s="669" t="s">
        <v>23</v>
      </c>
      <c r="C5" s="670"/>
      <c r="D5" s="38" t="s">
        <v>16</v>
      </c>
      <c r="E5" s="141">
        <f>O23</f>
        <v>0</v>
      </c>
      <c r="F5" s="141">
        <f>Y23</f>
        <v>0</v>
      </c>
      <c r="G5" s="289">
        <f>AB23</f>
        <v>0</v>
      </c>
      <c r="H5" s="386"/>
      <c r="I5" s="386"/>
      <c r="J5" s="386"/>
      <c r="K5" s="386"/>
      <c r="L5" s="386"/>
      <c r="M5" s="386"/>
      <c r="N5" s="386"/>
      <c r="O5" s="386"/>
      <c r="P5" s="386"/>
      <c r="Q5" s="386"/>
      <c r="R5" s="386"/>
      <c r="S5" s="386"/>
      <c r="T5" s="386"/>
    </row>
    <row r="6" spans="1:33" ht="18.75" customHeight="1">
      <c r="B6" s="702" t="s">
        <v>1</v>
      </c>
      <c r="C6" s="703"/>
      <c r="D6" s="62" t="s">
        <v>5</v>
      </c>
      <c r="E6" s="36">
        <f>P23</f>
        <v>0</v>
      </c>
      <c r="F6" s="36">
        <f>Z23</f>
        <v>0</v>
      </c>
      <c r="G6" s="316">
        <f>ROUND(AC23,1)</f>
        <v>0</v>
      </c>
      <c r="H6" s="385"/>
      <c r="I6" s="385"/>
      <c r="J6" s="385"/>
      <c r="K6" s="385"/>
      <c r="L6" s="385"/>
      <c r="M6" s="385"/>
      <c r="N6" s="385"/>
      <c r="O6" s="385"/>
      <c r="P6" s="385"/>
      <c r="Q6" s="385"/>
      <c r="R6" s="385"/>
      <c r="S6" s="385"/>
      <c r="T6" s="385"/>
      <c r="U6" s="399" t="s">
        <v>334</v>
      </c>
      <c r="V6" s="400"/>
      <c r="W6" s="400"/>
      <c r="X6" s="400"/>
      <c r="Y6" s="400"/>
      <c r="Z6" s="400"/>
      <c r="AA6" s="400"/>
      <c r="AB6" s="400"/>
      <c r="AC6" s="400"/>
      <c r="AD6" s="401"/>
    </row>
    <row r="7" spans="1:33" ht="18.75" customHeight="1">
      <c r="B7" s="702" t="s">
        <v>969</v>
      </c>
      <c r="C7" s="703"/>
      <c r="D7" s="89" t="s">
        <v>24</v>
      </c>
      <c r="E7" s="100">
        <f>Q23</f>
        <v>0</v>
      </c>
      <c r="F7" s="100">
        <f>AA23</f>
        <v>0</v>
      </c>
      <c r="G7" s="153">
        <f>ROUND(AD23,1)</f>
        <v>0</v>
      </c>
      <c r="U7" s="700" t="s">
        <v>1143</v>
      </c>
      <c r="V7" s="701"/>
      <c r="W7" s="726" t="str">
        <f>IF(OR(U8="",U8="なし",),"ー",IF(U8="増加","やむを得ず増加する場合は特記事項欄に理由を明記してください。(要根拠資料提出)","減少する理由を特記事項欄に明記してください。"))</f>
        <v>ー</v>
      </c>
      <c r="X7" s="727"/>
      <c r="Y7" s="727"/>
      <c r="Z7" s="727"/>
      <c r="AA7" s="727"/>
      <c r="AB7" s="727"/>
      <c r="AC7" s="727"/>
      <c r="AD7" s="728"/>
    </row>
    <row r="8" spans="1:33">
      <c r="B8" s="221" t="s">
        <v>916</v>
      </c>
      <c r="U8" s="732" t="str">
        <f>IF(OR(K23=0,V23=0),"",IF(K23=V23,"なし",IF(K23&gt;V23,"減少","増加")))</f>
        <v/>
      </c>
      <c r="V8" s="733"/>
      <c r="W8" s="729"/>
      <c r="X8" s="730"/>
      <c r="Y8" s="730"/>
      <c r="Z8" s="730"/>
      <c r="AA8" s="730"/>
      <c r="AB8" s="730"/>
      <c r="AC8" s="730"/>
      <c r="AD8" s="731"/>
    </row>
    <row r="9" spans="1:33">
      <c r="F9" s="15"/>
      <c r="U9" s="405"/>
      <c r="V9" s="405"/>
      <c r="W9" s="406"/>
      <c r="X9" s="406"/>
      <c r="Y9" s="398"/>
      <c r="Z9" s="398"/>
      <c r="AA9" s="398"/>
      <c r="AB9" s="398"/>
      <c r="AC9" s="398"/>
      <c r="AD9" s="398"/>
    </row>
    <row r="10" spans="1:33">
      <c r="A10" s="15"/>
      <c r="F10" s="15"/>
      <c r="G10" s="56"/>
      <c r="W10" s="734"/>
      <c r="X10" s="734"/>
    </row>
    <row r="11" spans="1:33" ht="19.5" thickBot="1">
      <c r="A11" s="15"/>
      <c r="F11" s="15"/>
    </row>
    <row r="12" spans="1:33" ht="19.5" thickBot="1">
      <c r="A12" s="15"/>
      <c r="F12" s="15"/>
      <c r="U12" s="759" t="s">
        <v>1168</v>
      </c>
      <c r="V12" s="760"/>
      <c r="W12" s="760"/>
      <c r="X12" s="760"/>
      <c r="Y12" s="760"/>
      <c r="Z12" s="761" t="s">
        <v>1103</v>
      </c>
      <c r="AA12" s="762"/>
      <c r="AB12" s="762"/>
      <c r="AC12" s="762"/>
      <c r="AD12" s="762"/>
      <c r="AE12" s="762"/>
      <c r="AF12" s="762"/>
      <c r="AG12" s="763"/>
    </row>
    <row r="13" spans="1:33">
      <c r="A13" s="15"/>
      <c r="F13" s="15"/>
    </row>
    <row r="14" spans="1:33">
      <c r="A14" s="15"/>
      <c r="F14" s="15"/>
    </row>
    <row r="15" spans="1:33">
      <c r="A15" s="15"/>
      <c r="F15" s="15"/>
      <c r="U15" s="219"/>
      <c r="X15" s="213"/>
      <c r="Y15" s="213"/>
      <c r="Z15" s="322"/>
      <c r="AA15" s="213"/>
      <c r="AC15" s="322"/>
      <c r="AE15" s="216"/>
      <c r="AF15" s="216"/>
      <c r="AG15" s="216"/>
    </row>
    <row r="16" spans="1:33">
      <c r="A16" s="15"/>
      <c r="B16" s="31"/>
      <c r="C16" s="15"/>
      <c r="D16" s="15"/>
      <c r="E16" s="15"/>
      <c r="M16" s="219"/>
    </row>
    <row r="17" spans="1:30">
      <c r="A17" s="15"/>
      <c r="B17" s="31"/>
      <c r="C17" s="15"/>
      <c r="D17" s="15"/>
      <c r="E17" s="15"/>
      <c r="M17" s="219"/>
    </row>
    <row r="18" spans="1:30">
      <c r="A18" s="15"/>
      <c r="B18" s="31"/>
      <c r="C18" s="15"/>
      <c r="D18" s="15"/>
      <c r="E18" s="15"/>
      <c r="M18" s="219"/>
    </row>
    <row r="19" spans="1:30">
      <c r="B19" s="229" t="str">
        <f>HYPERLINK("#", "【記入例：B44】ハイパーリンク")</f>
        <v>【記入例：B44】ハイパーリンク</v>
      </c>
    </row>
    <row r="20" spans="1:30">
      <c r="B20" s="666" t="s">
        <v>17</v>
      </c>
      <c r="C20" s="64" t="s">
        <v>19</v>
      </c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139" t="s">
        <v>846</v>
      </c>
      <c r="P20" s="139"/>
      <c r="Q20" s="132"/>
      <c r="R20" s="64" t="s">
        <v>20</v>
      </c>
      <c r="S20" s="65"/>
      <c r="T20" s="65"/>
      <c r="U20" s="65"/>
      <c r="V20" s="65"/>
      <c r="W20" s="65"/>
      <c r="X20" s="65"/>
      <c r="Y20" s="131" t="s">
        <v>846</v>
      </c>
      <c r="Z20" s="138"/>
      <c r="AA20" s="66"/>
      <c r="AB20" s="64" t="s">
        <v>26</v>
      </c>
      <c r="AC20" s="65"/>
      <c r="AD20" s="66"/>
    </row>
    <row r="21" spans="1:30" ht="66.75">
      <c r="B21" s="661"/>
      <c r="C21" s="371" t="s">
        <v>1107</v>
      </c>
      <c r="D21" s="372" t="s">
        <v>1139</v>
      </c>
      <c r="E21" s="379" t="s">
        <v>1109</v>
      </c>
      <c r="F21" s="61" t="s">
        <v>1110</v>
      </c>
      <c r="G21" s="61" t="s">
        <v>833</v>
      </c>
      <c r="H21" s="61" t="s">
        <v>1059</v>
      </c>
      <c r="I21" s="72" t="s">
        <v>342</v>
      </c>
      <c r="J21" s="75" t="s">
        <v>1089</v>
      </c>
      <c r="K21" s="72" t="s">
        <v>705</v>
      </c>
      <c r="L21" s="61" t="s">
        <v>1093</v>
      </c>
      <c r="M21" s="61" t="s">
        <v>1164</v>
      </c>
      <c r="N21" s="72" t="s">
        <v>1163</v>
      </c>
      <c r="O21" s="72" t="s">
        <v>1081</v>
      </c>
      <c r="P21" s="72" t="s">
        <v>1</v>
      </c>
      <c r="Q21" s="72" t="s">
        <v>969</v>
      </c>
      <c r="R21" s="61" t="s">
        <v>833</v>
      </c>
      <c r="S21" s="379" t="s">
        <v>1109</v>
      </c>
      <c r="T21" s="61" t="s">
        <v>1110</v>
      </c>
      <c r="U21" s="61" t="s">
        <v>1059</v>
      </c>
      <c r="V21" s="61" t="s">
        <v>705</v>
      </c>
      <c r="W21" s="61" t="s">
        <v>1093</v>
      </c>
      <c r="X21" s="61" t="s">
        <v>1164</v>
      </c>
      <c r="Y21" s="72" t="s">
        <v>1081</v>
      </c>
      <c r="Z21" s="61" t="s">
        <v>1</v>
      </c>
      <c r="AA21" s="61" t="s">
        <v>969</v>
      </c>
      <c r="AB21" s="61" t="s">
        <v>1040</v>
      </c>
      <c r="AC21" s="61" t="s">
        <v>1073</v>
      </c>
      <c r="AD21" s="61" t="s">
        <v>915</v>
      </c>
    </row>
    <row r="22" spans="1:30" ht="18" customHeight="1">
      <c r="B22" s="59" t="s">
        <v>18</v>
      </c>
      <c r="C22" s="89" t="s">
        <v>1106</v>
      </c>
      <c r="D22" s="85"/>
      <c r="E22" s="85"/>
      <c r="F22" s="85"/>
      <c r="G22" s="85"/>
      <c r="H22" s="89" t="s">
        <v>38</v>
      </c>
      <c r="I22" s="89" t="s">
        <v>814</v>
      </c>
      <c r="J22" s="85"/>
      <c r="K22" s="89" t="s">
        <v>98</v>
      </c>
      <c r="L22" s="89" t="s">
        <v>98</v>
      </c>
      <c r="M22" s="89" t="s">
        <v>15</v>
      </c>
      <c r="N22" s="89" t="s">
        <v>41</v>
      </c>
      <c r="O22" s="89" t="s">
        <v>1142</v>
      </c>
      <c r="P22" s="62" t="s">
        <v>5</v>
      </c>
      <c r="Q22" s="89" t="s">
        <v>706</v>
      </c>
      <c r="R22" s="85"/>
      <c r="S22" s="85"/>
      <c r="T22" s="85"/>
      <c r="U22" s="89" t="s">
        <v>38</v>
      </c>
      <c r="V22" s="89" t="s">
        <v>98</v>
      </c>
      <c r="W22" s="89" t="s">
        <v>98</v>
      </c>
      <c r="X22" s="89" t="s">
        <v>15</v>
      </c>
      <c r="Y22" s="89" t="s">
        <v>1142</v>
      </c>
      <c r="Z22" s="62" t="s">
        <v>5</v>
      </c>
      <c r="AA22" s="89" t="s">
        <v>706</v>
      </c>
      <c r="AB22" s="89" t="s">
        <v>16</v>
      </c>
      <c r="AC22" s="62" t="s">
        <v>5</v>
      </c>
      <c r="AD22" s="89" t="s">
        <v>706</v>
      </c>
    </row>
    <row r="23" spans="1:30">
      <c r="B23" s="71" t="s">
        <v>13</v>
      </c>
      <c r="C23" s="16" t="s">
        <v>1106</v>
      </c>
      <c r="D23" s="50"/>
      <c r="E23" s="50"/>
      <c r="F23" s="50"/>
      <c r="G23" s="166"/>
      <c r="H23" s="167">
        <f>SUM(H24:H33)</f>
        <v>0</v>
      </c>
      <c r="I23" s="166"/>
      <c r="J23" s="168"/>
      <c r="K23" s="174">
        <f>SUMPRODUCT(K24:K33,H24:H33)</f>
        <v>0</v>
      </c>
      <c r="L23" s="486">
        <f>SUMPRODUCT(L24:L33,H24:H33)</f>
        <v>0</v>
      </c>
      <c r="M23" s="166"/>
      <c r="N23" s="169"/>
      <c r="O23" s="360">
        <f>SUM(O24:O33)</f>
        <v>0</v>
      </c>
      <c r="P23" s="171">
        <f>SUM(P24:P33)</f>
        <v>0</v>
      </c>
      <c r="Q23" s="172">
        <f>SUM(Q24:Q33)</f>
        <v>0</v>
      </c>
      <c r="R23" s="168"/>
      <c r="S23" s="50"/>
      <c r="T23" s="50"/>
      <c r="U23" s="167">
        <f>SUM(U24:U33)</f>
        <v>0</v>
      </c>
      <c r="V23" s="174">
        <f>SUMPRODUCT(V24:V33,U24:U33)</f>
        <v>0</v>
      </c>
      <c r="W23" s="486">
        <f>SUMPRODUCT(W24:W33,U24:U33)</f>
        <v>0</v>
      </c>
      <c r="X23" s="166"/>
      <c r="Y23" s="360">
        <f t="shared" ref="Y23:AD23" si="0">SUM(Y24:Y33)</f>
        <v>0</v>
      </c>
      <c r="Z23" s="171">
        <f t="shared" si="0"/>
        <v>0</v>
      </c>
      <c r="AA23" s="172">
        <f t="shared" si="0"/>
        <v>0</v>
      </c>
      <c r="AB23" s="384">
        <f t="shared" si="0"/>
        <v>0</v>
      </c>
      <c r="AC23" s="173">
        <f t="shared" si="0"/>
        <v>0</v>
      </c>
      <c r="AD23" s="174">
        <f t="shared" si="0"/>
        <v>0</v>
      </c>
    </row>
    <row r="24" spans="1:30">
      <c r="B24" s="59" t="s">
        <v>122</v>
      </c>
      <c r="C24" s="51"/>
      <c r="D24" s="409"/>
      <c r="E24" s="409"/>
      <c r="F24" s="383"/>
      <c r="G24" s="1"/>
      <c r="H24" s="1"/>
      <c r="I24" s="1"/>
      <c r="J24" s="480">
        <f>IF(I24="",1,MIN(1.5,(2026-I24)*0.02+1))</f>
        <v>1</v>
      </c>
      <c r="K24" s="447"/>
      <c r="L24" s="487"/>
      <c r="M24" s="377" cm="1">
        <f t="array" ref="M24">_xlfn.IFS($C24="",100,$C24="冷凍機内蔵型ショーケース",VLOOKUP($C24&amp;D24&amp;E24,'負荷率計算(冷凍冷蔵)'!$L$6:$M$14,2,FALSE),TRUE,VLOOKUP($C24&amp;F24,'負荷率計算(冷凍冷蔵)'!$L$18:$M$29,2,FALSE))</f>
        <v>100</v>
      </c>
      <c r="N24" s="378">
        <v>8760</v>
      </c>
      <c r="O24" s="361">
        <f>H24*L24*N24*M24*J24/100</f>
        <v>0</v>
      </c>
      <c r="P24" s="34">
        <f>O24*係数!$I$30</f>
        <v>0</v>
      </c>
      <c r="Q24" s="105">
        <f>O24*係数!$C$30*0.0000258</f>
        <v>0</v>
      </c>
      <c r="R24" s="1"/>
      <c r="S24" s="409" t="s">
        <v>1186</v>
      </c>
      <c r="T24" s="383"/>
      <c r="U24" s="1"/>
      <c r="V24" s="447"/>
      <c r="W24" s="487"/>
      <c r="X24" s="377" cm="1">
        <f t="array" ref="X24">_xlfn.IFS($C24="",100,$C24="冷凍機内蔵型ショーケース",VLOOKUP($C24&amp;D24&amp;S24,'負荷率計算(冷凍冷蔵)'!$L$6:$M$14,2,FALSE),TRUE,VLOOKUP($C24&amp;T24,'負荷率計算(冷凍冷蔵)'!$L$18:$M$29,2,FALSE))</f>
        <v>100</v>
      </c>
      <c r="Y24" s="361">
        <f>IFERROR(U24*W24*N24*X24/100,0)</f>
        <v>0</v>
      </c>
      <c r="Z24" s="34">
        <f>Y24*係数!$I$30</f>
        <v>0</v>
      </c>
      <c r="AA24" s="105">
        <f>Y24*係数!$C$30*0.0000258</f>
        <v>0</v>
      </c>
      <c r="AB24" s="207">
        <f t="shared" ref="AB24:AB33" si="1">O24-Y24</f>
        <v>0</v>
      </c>
      <c r="AC24" s="315">
        <f t="shared" ref="AC24:AC33" si="2">P24-Z24</f>
        <v>0</v>
      </c>
      <c r="AD24" s="137">
        <f t="shared" ref="AD24:AD33" si="3">Q24-AA24</f>
        <v>0</v>
      </c>
    </row>
    <row r="25" spans="1:30">
      <c r="B25" s="59" t="s">
        <v>123</v>
      </c>
      <c r="C25" s="51"/>
      <c r="D25" s="409"/>
      <c r="E25" s="409"/>
      <c r="F25" s="383"/>
      <c r="G25" s="1"/>
      <c r="H25" s="1"/>
      <c r="I25" s="1"/>
      <c r="J25" s="480">
        <f t="shared" ref="J25:J33" si="4">IF(I25="",1,MIN(1.5,(2026-I25)*0.02+1))</f>
        <v>1</v>
      </c>
      <c r="K25" s="447"/>
      <c r="L25" s="487"/>
      <c r="M25" s="377" cm="1">
        <f t="array" ref="M25">_xlfn.IFS($C25="",100,$C25="冷凍機内蔵型ショーケース",VLOOKUP($C25&amp;D25&amp;E25,'負荷率計算(冷凍冷蔵)'!$L$6:$M$14,2,FALSE),TRUE,VLOOKUP($C25&amp;F25,'負荷率計算(冷凍冷蔵)'!$L$18:$M$29,2,FALSE))</f>
        <v>100</v>
      </c>
      <c r="N25" s="378">
        <v>8760</v>
      </c>
      <c r="O25" s="361">
        <f t="shared" ref="O25:O33" si="5">H25*L25*N25*M25*J25/100</f>
        <v>0</v>
      </c>
      <c r="P25" s="34">
        <f>O25*係数!$I$30</f>
        <v>0</v>
      </c>
      <c r="Q25" s="105">
        <f>O25*係数!$C$30*0.0000258</f>
        <v>0</v>
      </c>
      <c r="R25" s="1"/>
      <c r="S25" s="409"/>
      <c r="T25" s="383"/>
      <c r="U25" s="1"/>
      <c r="V25" s="447"/>
      <c r="W25" s="487"/>
      <c r="X25" s="377" cm="1">
        <f t="array" ref="X25">_xlfn.IFS(C25="",100,C25="冷凍機内蔵型ショーケース",VLOOKUP(C25&amp;D25&amp;S25,'負荷率計算(冷凍冷蔵)'!$L$6:$M$14,2,FALSE),TRUE,VLOOKUP(C25&amp;T25,'負荷率計算(冷凍冷蔵)'!$L$18:$M$29,2,FALSE))</f>
        <v>100</v>
      </c>
      <c r="Y25" s="361">
        <f t="shared" ref="Y25:Y33" si="6">IFERROR(U25*W25*N25*X25/100,0)</f>
        <v>0</v>
      </c>
      <c r="Z25" s="34">
        <f>Y25*係数!$I$30</f>
        <v>0</v>
      </c>
      <c r="AA25" s="105">
        <f>Y25*係数!$C$30*0.0000258</f>
        <v>0</v>
      </c>
      <c r="AB25" s="207">
        <f t="shared" si="1"/>
        <v>0</v>
      </c>
      <c r="AC25" s="315">
        <f t="shared" si="2"/>
        <v>0</v>
      </c>
      <c r="AD25" s="137">
        <f t="shared" si="3"/>
        <v>0</v>
      </c>
    </row>
    <row r="26" spans="1:30">
      <c r="B26" s="59" t="s">
        <v>124</v>
      </c>
      <c r="C26" s="51"/>
      <c r="D26" s="409"/>
      <c r="E26" s="409"/>
      <c r="F26" s="383"/>
      <c r="G26" s="1"/>
      <c r="H26" s="1"/>
      <c r="I26" s="1"/>
      <c r="J26" s="480">
        <f t="shared" si="4"/>
        <v>1</v>
      </c>
      <c r="K26" s="447"/>
      <c r="L26" s="487"/>
      <c r="M26" s="377" cm="1">
        <f t="array" ref="M26">_xlfn.IFS($C26="",100,$C26="冷凍機内蔵型ショーケース",VLOOKUP($C26&amp;D26&amp;E26,'負荷率計算(冷凍冷蔵)'!$L$6:$M$14,2,FALSE),TRUE,VLOOKUP($C26&amp;F26,'負荷率計算(冷凍冷蔵)'!$L$18:$M$29,2,FALSE))</f>
        <v>100</v>
      </c>
      <c r="N26" s="378">
        <v>8760</v>
      </c>
      <c r="O26" s="361">
        <f t="shared" si="5"/>
        <v>0</v>
      </c>
      <c r="P26" s="34">
        <f>O26*係数!$I$30</f>
        <v>0</v>
      </c>
      <c r="Q26" s="105">
        <f>O26*係数!$C$30*0.0000258</f>
        <v>0</v>
      </c>
      <c r="R26" s="1"/>
      <c r="S26" s="409"/>
      <c r="T26" s="383"/>
      <c r="U26" s="1"/>
      <c r="V26" s="447"/>
      <c r="W26" s="487"/>
      <c r="X26" s="377" cm="1">
        <f t="array" ref="X26">_xlfn.IFS(C26="",100,C26="冷凍機内蔵型ショーケース",VLOOKUP(C26&amp;D26&amp;S26,'負荷率計算(冷凍冷蔵)'!$L$6:$M$14,2,FALSE),TRUE,VLOOKUP(C26&amp;T26,'負荷率計算(冷凍冷蔵)'!$L$18:$M$29,2,FALSE))</f>
        <v>100</v>
      </c>
      <c r="Y26" s="361">
        <f t="shared" si="6"/>
        <v>0</v>
      </c>
      <c r="Z26" s="34">
        <f>Y26*係数!$I$30</f>
        <v>0</v>
      </c>
      <c r="AA26" s="105">
        <f>Y26*係数!$C$30*0.0000258</f>
        <v>0</v>
      </c>
      <c r="AB26" s="207">
        <f t="shared" si="1"/>
        <v>0</v>
      </c>
      <c r="AC26" s="315">
        <f t="shared" si="2"/>
        <v>0</v>
      </c>
      <c r="AD26" s="137">
        <f t="shared" si="3"/>
        <v>0</v>
      </c>
    </row>
    <row r="27" spans="1:30">
      <c r="B27" s="59" t="s">
        <v>125</v>
      </c>
      <c r="C27" s="51"/>
      <c r="D27" s="409"/>
      <c r="E27" s="409"/>
      <c r="F27" s="383"/>
      <c r="G27" s="1"/>
      <c r="H27" s="1"/>
      <c r="I27" s="1"/>
      <c r="J27" s="480">
        <f t="shared" si="4"/>
        <v>1</v>
      </c>
      <c r="K27" s="447"/>
      <c r="L27" s="487"/>
      <c r="M27" s="377" cm="1">
        <f t="array" ref="M27">_xlfn.IFS($C27="",100,$C27="冷凍機内蔵型ショーケース",VLOOKUP($C27&amp;D27&amp;E27,'負荷率計算(冷凍冷蔵)'!$L$6:$M$14,2,FALSE),TRUE,VLOOKUP($C27&amp;F27,'負荷率計算(冷凍冷蔵)'!$L$18:$M$29,2,FALSE))</f>
        <v>100</v>
      </c>
      <c r="N27" s="378">
        <v>8760</v>
      </c>
      <c r="O27" s="361">
        <f t="shared" si="5"/>
        <v>0</v>
      </c>
      <c r="P27" s="34">
        <f>O27*係数!$I$30</f>
        <v>0</v>
      </c>
      <c r="Q27" s="105">
        <f>O27*係数!$C$30*0.0000258</f>
        <v>0</v>
      </c>
      <c r="R27" s="1"/>
      <c r="S27" s="409"/>
      <c r="T27" s="383"/>
      <c r="U27" s="1"/>
      <c r="V27" s="447"/>
      <c r="W27" s="487"/>
      <c r="X27" s="377" cm="1">
        <f t="array" ref="X27">_xlfn.IFS(C27="",100,C27="冷凍機内蔵型ショーケース",VLOOKUP(C27&amp;D27&amp;S27,'負荷率計算(冷凍冷蔵)'!$L$6:$M$14,2,FALSE),TRUE,VLOOKUP(C27&amp;T27,'負荷率計算(冷凍冷蔵)'!$L$18:$M$29,2,FALSE))</f>
        <v>100</v>
      </c>
      <c r="Y27" s="361">
        <f t="shared" si="6"/>
        <v>0</v>
      </c>
      <c r="Z27" s="34">
        <f>Y27*係数!$I$30</f>
        <v>0</v>
      </c>
      <c r="AA27" s="105">
        <f>Y27*係数!$C$30*0.0000258</f>
        <v>0</v>
      </c>
      <c r="AB27" s="207">
        <f t="shared" si="1"/>
        <v>0</v>
      </c>
      <c r="AC27" s="315">
        <f t="shared" si="2"/>
        <v>0</v>
      </c>
      <c r="AD27" s="137">
        <f t="shared" si="3"/>
        <v>0</v>
      </c>
    </row>
    <row r="28" spans="1:30">
      <c r="B28" s="59" t="s">
        <v>126</v>
      </c>
      <c r="C28" s="51"/>
      <c r="D28" s="409"/>
      <c r="E28" s="409"/>
      <c r="F28" s="383"/>
      <c r="G28" s="1"/>
      <c r="H28" s="1"/>
      <c r="I28" s="1"/>
      <c r="J28" s="480">
        <f t="shared" si="4"/>
        <v>1</v>
      </c>
      <c r="K28" s="447"/>
      <c r="L28" s="487"/>
      <c r="M28" s="377" cm="1">
        <f t="array" ref="M28">_xlfn.IFS($C28="",100,$C28="冷凍機内蔵型ショーケース",VLOOKUP($C28&amp;D28&amp;E28,'負荷率計算(冷凍冷蔵)'!$L$6:$M$14,2,FALSE),TRUE,VLOOKUP($C28&amp;F28,'負荷率計算(冷凍冷蔵)'!$L$18:$M$29,2,FALSE))</f>
        <v>100</v>
      </c>
      <c r="N28" s="378">
        <v>8760</v>
      </c>
      <c r="O28" s="361">
        <f t="shared" si="5"/>
        <v>0</v>
      </c>
      <c r="P28" s="34">
        <f>O28*係数!$I$30</f>
        <v>0</v>
      </c>
      <c r="Q28" s="105">
        <f>O28*係数!$C$30*0.0000258</f>
        <v>0</v>
      </c>
      <c r="R28" s="1"/>
      <c r="S28" s="409"/>
      <c r="T28" s="383"/>
      <c r="U28" s="1"/>
      <c r="V28" s="447"/>
      <c r="W28" s="487"/>
      <c r="X28" s="377" cm="1">
        <f t="array" ref="X28">_xlfn.IFS(C28="",100,C28="冷凍機内蔵型ショーケース",VLOOKUP(C28&amp;D28&amp;S28,'負荷率計算(冷凍冷蔵)'!$L$6:$M$14,2,FALSE),TRUE,VLOOKUP(C28&amp;T28,'負荷率計算(冷凍冷蔵)'!$L$18:$M$29,2,FALSE))</f>
        <v>100</v>
      </c>
      <c r="Y28" s="361">
        <f t="shared" si="6"/>
        <v>0</v>
      </c>
      <c r="Z28" s="34">
        <f>Y28*係数!$I$30</f>
        <v>0</v>
      </c>
      <c r="AA28" s="105">
        <f>Y28*係数!$C$30*0.0000258</f>
        <v>0</v>
      </c>
      <c r="AB28" s="207">
        <f t="shared" si="1"/>
        <v>0</v>
      </c>
      <c r="AC28" s="315">
        <f t="shared" si="2"/>
        <v>0</v>
      </c>
      <c r="AD28" s="137">
        <f t="shared" si="3"/>
        <v>0</v>
      </c>
    </row>
    <row r="29" spans="1:30">
      <c r="B29" s="59" t="s">
        <v>127</v>
      </c>
      <c r="C29" s="51"/>
      <c r="D29" s="409"/>
      <c r="E29" s="409"/>
      <c r="F29" s="383"/>
      <c r="G29" s="1"/>
      <c r="H29" s="1"/>
      <c r="I29" s="1"/>
      <c r="J29" s="480">
        <f t="shared" si="4"/>
        <v>1</v>
      </c>
      <c r="K29" s="447"/>
      <c r="L29" s="487"/>
      <c r="M29" s="377" cm="1">
        <f t="array" ref="M29">_xlfn.IFS($C29="",100,$C29="冷凍機内蔵型ショーケース",VLOOKUP($C29&amp;D29&amp;E29,'負荷率計算(冷凍冷蔵)'!$L$6:$M$14,2,FALSE),TRUE,VLOOKUP($C29&amp;F29,'負荷率計算(冷凍冷蔵)'!$L$18:$M$29,2,FALSE))</f>
        <v>100</v>
      </c>
      <c r="N29" s="378">
        <v>8760</v>
      </c>
      <c r="O29" s="361">
        <f>H29*L29*N29*M29*J29/100</f>
        <v>0</v>
      </c>
      <c r="P29" s="34">
        <f>O29*係数!$I$30</f>
        <v>0</v>
      </c>
      <c r="Q29" s="105">
        <f>O29*係数!$C$30*0.0000258</f>
        <v>0</v>
      </c>
      <c r="R29" s="1"/>
      <c r="S29" s="409"/>
      <c r="T29" s="383"/>
      <c r="U29" s="1"/>
      <c r="V29" s="447"/>
      <c r="W29" s="487"/>
      <c r="X29" s="377" cm="1">
        <f t="array" ref="X29">_xlfn.IFS(C29="",100,C29="冷凍機内蔵型ショーケース",VLOOKUP(C29&amp;D29&amp;S29,'負荷率計算(冷凍冷蔵)'!$L$6:$M$14,2,FALSE),TRUE,VLOOKUP(C29&amp;T29,'負荷率計算(冷凍冷蔵)'!$L$18:$M$29,2,FALSE))</f>
        <v>100</v>
      </c>
      <c r="Y29" s="361">
        <f t="shared" si="6"/>
        <v>0</v>
      </c>
      <c r="Z29" s="34">
        <f>Y29*係数!$I$30</f>
        <v>0</v>
      </c>
      <c r="AA29" s="105">
        <f>Y29*係数!$C$30*0.0000258</f>
        <v>0</v>
      </c>
      <c r="AB29" s="207">
        <f t="shared" si="1"/>
        <v>0</v>
      </c>
      <c r="AC29" s="315">
        <f t="shared" si="2"/>
        <v>0</v>
      </c>
      <c r="AD29" s="137">
        <f t="shared" si="3"/>
        <v>0</v>
      </c>
    </row>
    <row r="30" spans="1:30">
      <c r="B30" s="59" t="s">
        <v>128</v>
      </c>
      <c r="C30" s="51"/>
      <c r="D30" s="409"/>
      <c r="E30" s="70"/>
      <c r="F30" s="383"/>
      <c r="G30" s="1"/>
      <c r="H30" s="1"/>
      <c r="I30" s="1"/>
      <c r="J30" s="480">
        <f t="shared" si="4"/>
        <v>1</v>
      </c>
      <c r="K30" s="447"/>
      <c r="L30" s="487"/>
      <c r="M30" s="377" cm="1">
        <f t="array" ref="M30">_xlfn.IFS($C30="",100,$C30="冷凍機内蔵型ショーケース",VLOOKUP($C30&amp;D30&amp;E30,'負荷率計算(冷凍冷蔵)'!$L$6:$M$14,2,FALSE),TRUE,VLOOKUP($C30&amp;F30,'負荷率計算(冷凍冷蔵)'!$L$18:$M$29,2,FALSE))</f>
        <v>100</v>
      </c>
      <c r="N30" s="378">
        <v>8760</v>
      </c>
      <c r="O30" s="361">
        <f t="shared" si="5"/>
        <v>0</v>
      </c>
      <c r="P30" s="34">
        <f>O30*係数!$I$30</f>
        <v>0</v>
      </c>
      <c r="Q30" s="105">
        <f>O30*係数!$C$30*0.0000258</f>
        <v>0</v>
      </c>
      <c r="R30" s="1"/>
      <c r="S30" s="409"/>
      <c r="T30" s="383"/>
      <c r="U30" s="1"/>
      <c r="V30" s="447"/>
      <c r="W30" s="487"/>
      <c r="X30" s="377" cm="1">
        <f t="array" ref="X30">_xlfn.IFS(C30="",100,C30="冷凍機内蔵型ショーケース",VLOOKUP(C30&amp;D30&amp;S30,'負荷率計算(冷凍冷蔵)'!$L$6:$M$14,2,FALSE),TRUE,VLOOKUP(C30&amp;T30,'負荷率計算(冷凍冷蔵)'!$L$18:$M$29,2,FALSE))</f>
        <v>100</v>
      </c>
      <c r="Y30" s="361">
        <f t="shared" si="6"/>
        <v>0</v>
      </c>
      <c r="Z30" s="34">
        <f>Y30*係数!$I$30</f>
        <v>0</v>
      </c>
      <c r="AA30" s="105">
        <f>Y30*係数!$C$30*0.0000258</f>
        <v>0</v>
      </c>
      <c r="AB30" s="207">
        <f t="shared" si="1"/>
        <v>0</v>
      </c>
      <c r="AC30" s="315">
        <f t="shared" si="2"/>
        <v>0</v>
      </c>
      <c r="AD30" s="137">
        <f t="shared" si="3"/>
        <v>0</v>
      </c>
    </row>
    <row r="31" spans="1:30">
      <c r="B31" s="59" t="s">
        <v>129</v>
      </c>
      <c r="C31" s="51"/>
      <c r="D31" s="409"/>
      <c r="E31" s="409"/>
      <c r="F31" s="383"/>
      <c r="G31" s="1"/>
      <c r="H31" s="1"/>
      <c r="I31" s="1"/>
      <c r="J31" s="480">
        <f t="shared" si="4"/>
        <v>1</v>
      </c>
      <c r="K31" s="447"/>
      <c r="L31" s="487"/>
      <c r="M31" s="377" cm="1">
        <f t="array" ref="M31">_xlfn.IFS($C31="",100,$C31="冷凍機内蔵型ショーケース",VLOOKUP($C31&amp;D31&amp;E31,'負荷率計算(冷凍冷蔵)'!$L$6:$M$14,2,FALSE),TRUE,VLOOKUP($C31&amp;F31,'負荷率計算(冷凍冷蔵)'!$L$18:$M$29,2,FALSE))</f>
        <v>100</v>
      </c>
      <c r="N31" s="378">
        <v>8760</v>
      </c>
      <c r="O31" s="361">
        <f t="shared" si="5"/>
        <v>0</v>
      </c>
      <c r="P31" s="34">
        <f>O31*係数!$I$30</f>
        <v>0</v>
      </c>
      <c r="Q31" s="105">
        <f>O31*係数!$C$30*0.0000258</f>
        <v>0</v>
      </c>
      <c r="R31" s="1"/>
      <c r="S31" s="409"/>
      <c r="T31" s="383"/>
      <c r="U31" s="1"/>
      <c r="V31" s="447"/>
      <c r="W31" s="487"/>
      <c r="X31" s="377" cm="1">
        <f t="array" ref="X31">_xlfn.IFS(C31="",100,C31="冷凍機内蔵型ショーケース",VLOOKUP(C31&amp;D31&amp;S31,'負荷率計算(冷凍冷蔵)'!$L$6:$M$14,2,FALSE),TRUE,VLOOKUP(C31&amp;T31,'負荷率計算(冷凍冷蔵)'!$L$18:$M$29,2,FALSE))</f>
        <v>100</v>
      </c>
      <c r="Y31" s="361">
        <f t="shared" si="6"/>
        <v>0</v>
      </c>
      <c r="Z31" s="34">
        <f>Y31*係数!$I$30</f>
        <v>0</v>
      </c>
      <c r="AA31" s="105">
        <f>Y31*係数!$C$30*0.0000258</f>
        <v>0</v>
      </c>
      <c r="AB31" s="207">
        <f t="shared" si="1"/>
        <v>0</v>
      </c>
      <c r="AC31" s="315">
        <f t="shared" si="2"/>
        <v>0</v>
      </c>
      <c r="AD31" s="137">
        <f t="shared" si="3"/>
        <v>0</v>
      </c>
    </row>
    <row r="32" spans="1:30">
      <c r="B32" s="59" t="s">
        <v>130</v>
      </c>
      <c r="C32" s="51"/>
      <c r="D32" s="409"/>
      <c r="E32" s="409"/>
      <c r="F32" s="383"/>
      <c r="G32" s="1"/>
      <c r="H32" s="1"/>
      <c r="I32" s="1"/>
      <c r="J32" s="480">
        <f t="shared" si="4"/>
        <v>1</v>
      </c>
      <c r="K32" s="447"/>
      <c r="L32" s="487"/>
      <c r="M32" s="377" cm="1">
        <f t="array" ref="M32">_xlfn.IFS($C32="",100,$C32="冷凍機内蔵型ショーケース",VLOOKUP($C32&amp;D32&amp;E32,'負荷率計算(冷凍冷蔵)'!$L$6:$M$14,2,FALSE),TRUE,VLOOKUP($C32&amp;F32,'負荷率計算(冷凍冷蔵)'!$L$18:$M$29,2,FALSE))</f>
        <v>100</v>
      </c>
      <c r="N32" s="378">
        <v>8760</v>
      </c>
      <c r="O32" s="361">
        <f t="shared" si="5"/>
        <v>0</v>
      </c>
      <c r="P32" s="34">
        <f>O32*係数!$I$30</f>
        <v>0</v>
      </c>
      <c r="Q32" s="105">
        <f>O32*係数!$C$30*0.0000258</f>
        <v>0</v>
      </c>
      <c r="R32" s="1"/>
      <c r="S32" s="409"/>
      <c r="T32" s="383"/>
      <c r="U32" s="1"/>
      <c r="V32" s="447"/>
      <c r="W32" s="487"/>
      <c r="X32" s="377" cm="1">
        <f t="array" ref="X32">_xlfn.IFS(C32="",100,C32="冷凍機内蔵型ショーケース",VLOOKUP(C32&amp;D32&amp;S32,'負荷率計算(冷凍冷蔵)'!$L$6:$M$14,2,FALSE),TRUE,VLOOKUP(C32&amp;T32,'負荷率計算(冷凍冷蔵)'!$L$18:$M$29,2,FALSE))</f>
        <v>100</v>
      </c>
      <c r="Y32" s="361">
        <f t="shared" si="6"/>
        <v>0</v>
      </c>
      <c r="Z32" s="34">
        <f>Y32*係数!$I$30</f>
        <v>0</v>
      </c>
      <c r="AA32" s="105">
        <f>Y32*係数!$C$30*0.0000258</f>
        <v>0</v>
      </c>
      <c r="AB32" s="207">
        <f t="shared" si="1"/>
        <v>0</v>
      </c>
      <c r="AC32" s="315">
        <f t="shared" si="2"/>
        <v>0</v>
      </c>
      <c r="AD32" s="137">
        <f t="shared" si="3"/>
        <v>0</v>
      </c>
    </row>
    <row r="33" spans="1:31">
      <c r="B33" s="59" t="s">
        <v>131</v>
      </c>
      <c r="C33" s="51"/>
      <c r="D33" s="409"/>
      <c r="E33" s="409"/>
      <c r="F33" s="383"/>
      <c r="G33" s="1"/>
      <c r="H33" s="1"/>
      <c r="I33" s="1"/>
      <c r="J33" s="480">
        <f t="shared" si="4"/>
        <v>1</v>
      </c>
      <c r="K33" s="447"/>
      <c r="L33" s="487"/>
      <c r="M33" s="377" cm="1">
        <f t="array" ref="M33">_xlfn.IFS($C33="",100,$C33="冷凍機内蔵型ショーケース",VLOOKUP($C33&amp;D33&amp;E33,'負荷率計算(冷凍冷蔵)'!$L$6:$M$14,2,FALSE),TRUE,VLOOKUP($C33&amp;F33,'負荷率計算(冷凍冷蔵)'!$L$18:$M$29,2,FALSE))</f>
        <v>100</v>
      </c>
      <c r="N33" s="378">
        <v>8760</v>
      </c>
      <c r="O33" s="361">
        <f t="shared" si="5"/>
        <v>0</v>
      </c>
      <c r="P33" s="34">
        <f>O33*係数!$I$30</f>
        <v>0</v>
      </c>
      <c r="Q33" s="105">
        <f>O33*係数!$C$30*0.0000258</f>
        <v>0</v>
      </c>
      <c r="R33" s="1"/>
      <c r="S33" s="409"/>
      <c r="T33" s="383"/>
      <c r="U33" s="1"/>
      <c r="V33" s="447"/>
      <c r="W33" s="487"/>
      <c r="X33" s="377" cm="1">
        <f t="array" ref="X33">_xlfn.IFS(C33="",100,C33="冷凍機内蔵型ショーケース",VLOOKUP(C33&amp;D33&amp;S33,'負荷率計算(冷凍冷蔵)'!$L$6:$M$14,2,FALSE),TRUE,VLOOKUP(C33&amp;T33,'負荷率計算(冷凍冷蔵)'!$L$18:$M$29,2,FALSE))</f>
        <v>100</v>
      </c>
      <c r="Y33" s="361">
        <f t="shared" si="6"/>
        <v>0</v>
      </c>
      <c r="Z33" s="34">
        <f>Y33*係数!$I$30</f>
        <v>0</v>
      </c>
      <c r="AA33" s="105">
        <f>Y33*係数!$C$30*0.0000258</f>
        <v>0</v>
      </c>
      <c r="AB33" s="207">
        <f t="shared" si="1"/>
        <v>0</v>
      </c>
      <c r="AC33" s="315">
        <f t="shared" si="2"/>
        <v>0</v>
      </c>
      <c r="AD33" s="137">
        <f t="shared" si="3"/>
        <v>0</v>
      </c>
    </row>
    <row r="35" spans="1:31" ht="30">
      <c r="A35" s="497" t="s">
        <v>1188</v>
      </c>
      <c r="B35" s="498"/>
      <c r="C35" s="498"/>
      <c r="D35" s="498"/>
      <c r="E35" s="498"/>
      <c r="F35" s="498"/>
      <c r="G35" s="498"/>
      <c r="H35" s="498"/>
      <c r="I35" s="498"/>
      <c r="J35" s="498"/>
      <c r="K35" s="498"/>
      <c r="L35" s="498"/>
      <c r="M35" s="498"/>
      <c r="N35" s="498"/>
      <c r="O35" s="498"/>
      <c r="P35" s="498"/>
      <c r="Q35" s="498"/>
      <c r="R35" s="498"/>
      <c r="S35" s="498"/>
      <c r="T35" s="498"/>
      <c r="U35" s="498"/>
      <c r="V35" s="498"/>
      <c r="W35" s="498"/>
      <c r="X35" s="498"/>
      <c r="Y35" s="498"/>
      <c r="Z35" s="498"/>
      <c r="AA35" s="498"/>
      <c r="AB35" s="498"/>
      <c r="AC35" s="498"/>
      <c r="AD35" s="498"/>
      <c r="AE35" s="498"/>
    </row>
    <row r="36" spans="1:31">
      <c r="A36" s="498"/>
      <c r="B36" s="498"/>
      <c r="C36" s="498"/>
      <c r="D36" s="498"/>
      <c r="E36" s="498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498"/>
      <c r="W36" s="498"/>
      <c r="X36" s="498"/>
      <c r="Y36" s="498"/>
      <c r="Z36" s="498"/>
      <c r="AA36" s="498"/>
      <c r="AB36" s="498"/>
      <c r="AC36" s="498"/>
      <c r="AD36" s="498"/>
      <c r="AE36" s="498"/>
    </row>
    <row r="37" spans="1:31">
      <c r="A37" s="498"/>
      <c r="B37" s="498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498"/>
      <c r="W37" s="498"/>
      <c r="X37" s="498"/>
      <c r="Y37" s="498"/>
      <c r="Z37" s="498"/>
      <c r="AA37" s="498"/>
      <c r="AB37" s="498"/>
      <c r="AC37" s="498"/>
      <c r="AD37" s="498"/>
      <c r="AE37" s="498"/>
    </row>
    <row r="38" spans="1:31">
      <c r="A38" s="498"/>
      <c r="B38" s="49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498"/>
      <c r="O38" s="498"/>
      <c r="P38" s="498"/>
      <c r="Q38" s="498"/>
      <c r="R38" s="498"/>
      <c r="S38" s="498"/>
      <c r="T38" s="498"/>
      <c r="U38" s="498"/>
      <c r="V38" s="498"/>
      <c r="W38" s="498"/>
      <c r="X38" s="498"/>
      <c r="Y38" s="498"/>
      <c r="Z38" s="498"/>
      <c r="AA38" s="498"/>
      <c r="AB38" s="498"/>
      <c r="AC38" s="498"/>
      <c r="AD38" s="498"/>
      <c r="AE38" s="498"/>
    </row>
    <row r="39" spans="1:31">
      <c r="A39" s="498"/>
      <c r="B39" s="498"/>
      <c r="C39" s="498"/>
      <c r="D39" s="498"/>
      <c r="E39" s="498"/>
      <c r="F39" s="498"/>
      <c r="G39" s="498"/>
      <c r="H39" s="498"/>
      <c r="I39" s="498"/>
      <c r="J39" s="498"/>
      <c r="K39" s="498"/>
      <c r="L39" s="498"/>
      <c r="M39" s="498"/>
      <c r="N39" s="498"/>
      <c r="O39" s="498"/>
      <c r="P39" s="498"/>
      <c r="Q39" s="498"/>
      <c r="R39" s="498"/>
      <c r="S39" s="498"/>
      <c r="T39" s="498"/>
      <c r="U39" s="498"/>
      <c r="V39" s="498"/>
      <c r="W39" s="498"/>
      <c r="X39" s="498"/>
      <c r="Y39" s="498"/>
      <c r="Z39" s="498"/>
      <c r="AA39" s="498"/>
      <c r="AB39" s="498"/>
      <c r="AC39" s="498"/>
      <c r="AD39" s="498"/>
      <c r="AE39" s="498"/>
    </row>
    <row r="40" spans="1:31">
      <c r="A40" s="498"/>
      <c r="B40" s="498"/>
      <c r="C40" s="498"/>
      <c r="D40" s="498"/>
      <c r="E40" s="498"/>
      <c r="F40" s="498"/>
      <c r="G40" s="498"/>
      <c r="H40" s="498"/>
      <c r="I40" s="498"/>
      <c r="J40" s="498"/>
      <c r="K40" s="498"/>
      <c r="L40" s="498"/>
      <c r="M40" s="498"/>
      <c r="N40" s="498"/>
      <c r="O40" s="498"/>
      <c r="P40" s="498"/>
      <c r="Q40" s="498"/>
      <c r="R40" s="498"/>
      <c r="S40" s="498"/>
      <c r="T40" s="498"/>
      <c r="U40" s="498"/>
      <c r="V40" s="498"/>
      <c r="W40" s="498"/>
      <c r="X40" s="498"/>
      <c r="Y40" s="498"/>
      <c r="Z40" s="498"/>
      <c r="AA40" s="498"/>
      <c r="AB40" s="498"/>
      <c r="AC40" s="498"/>
      <c r="AD40" s="498"/>
      <c r="AE40" s="498"/>
    </row>
    <row r="41" spans="1:31">
      <c r="A41" s="498"/>
      <c r="B41" s="498"/>
      <c r="C41" s="498"/>
      <c r="D41" s="498"/>
      <c r="E41" s="498"/>
      <c r="F41" s="498"/>
      <c r="G41" s="498"/>
      <c r="H41" s="498"/>
      <c r="I41" s="498"/>
      <c r="J41" s="498"/>
      <c r="K41" s="498"/>
      <c r="L41" s="498"/>
      <c r="M41" s="498"/>
      <c r="N41" s="498"/>
      <c r="O41" s="498"/>
      <c r="P41" s="498"/>
      <c r="Q41" s="498"/>
      <c r="R41" s="498"/>
      <c r="S41" s="498"/>
      <c r="T41" s="498"/>
      <c r="U41" s="498"/>
      <c r="V41" s="498"/>
      <c r="W41" s="498"/>
      <c r="X41" s="498"/>
      <c r="Y41" s="498"/>
      <c r="Z41" s="498"/>
      <c r="AA41" s="498"/>
      <c r="AB41" s="498"/>
      <c r="AC41" s="498"/>
      <c r="AD41" s="498"/>
      <c r="AE41" s="498"/>
    </row>
    <row r="42" spans="1:31">
      <c r="A42" s="498"/>
      <c r="B42" s="498"/>
      <c r="C42" s="498"/>
      <c r="D42" s="498"/>
      <c r="E42" s="498"/>
      <c r="F42" s="498"/>
      <c r="G42" s="498"/>
      <c r="H42" s="498"/>
      <c r="I42" s="498"/>
      <c r="J42" s="498"/>
      <c r="K42" s="498"/>
      <c r="L42" s="498"/>
      <c r="M42" s="498"/>
      <c r="N42" s="498"/>
      <c r="O42" s="498"/>
      <c r="P42" s="498"/>
      <c r="Q42" s="498"/>
      <c r="R42" s="498"/>
      <c r="S42" s="498"/>
      <c r="T42" s="498"/>
      <c r="U42" s="498"/>
      <c r="V42" s="498"/>
      <c r="W42" s="498"/>
      <c r="X42" s="498"/>
      <c r="Y42" s="498"/>
      <c r="Z42" s="498"/>
      <c r="AA42" s="498"/>
      <c r="AB42" s="498"/>
      <c r="AC42" s="498"/>
      <c r="AD42" s="498"/>
      <c r="AE42" s="498"/>
    </row>
    <row r="43" spans="1:31">
      <c r="A43" s="498"/>
      <c r="B43" s="254" t="str">
        <f>HYPERLINK("#", "【シートトップ】ハイパーリンク")</f>
        <v>【シートトップ】ハイパーリンク</v>
      </c>
      <c r="C43" s="254"/>
      <c r="D43" s="254"/>
      <c r="E43" s="254"/>
      <c r="F43" s="498"/>
      <c r="G43" s="498"/>
      <c r="H43" s="498"/>
      <c r="I43" s="498"/>
      <c r="J43" s="498"/>
      <c r="K43" s="498"/>
      <c r="L43" s="498"/>
      <c r="M43" s="498"/>
      <c r="N43" s="498"/>
      <c r="O43" s="498"/>
      <c r="P43" s="498"/>
      <c r="Q43" s="498"/>
      <c r="R43" s="498"/>
      <c r="S43" s="498"/>
      <c r="T43" s="498"/>
      <c r="U43" s="498"/>
      <c r="V43" s="498"/>
      <c r="W43" s="498"/>
      <c r="X43" s="498"/>
      <c r="Y43" s="498"/>
      <c r="Z43" s="498"/>
      <c r="AA43" s="498"/>
      <c r="AB43" s="498"/>
      <c r="AC43" s="498"/>
      <c r="AD43" s="498"/>
      <c r="AE43" s="498"/>
    </row>
    <row r="44" spans="1:31">
      <c r="A44" s="498"/>
      <c r="B44" s="713" t="s">
        <v>17</v>
      </c>
      <c r="C44" s="499" t="s">
        <v>19</v>
      </c>
      <c r="D44" s="500"/>
      <c r="E44" s="500"/>
      <c r="F44" s="500"/>
      <c r="G44" s="500"/>
      <c r="H44" s="500"/>
      <c r="I44" s="500"/>
      <c r="J44" s="500"/>
      <c r="K44" s="500"/>
      <c r="L44" s="500"/>
      <c r="M44" s="500"/>
      <c r="N44" s="500"/>
      <c r="O44" s="501" t="s">
        <v>846</v>
      </c>
      <c r="P44" s="501"/>
      <c r="Q44" s="502"/>
      <c r="R44" s="503" t="s">
        <v>20</v>
      </c>
      <c r="S44" s="500"/>
      <c r="T44" s="500"/>
      <c r="U44" s="504"/>
      <c r="V44" s="500"/>
      <c r="W44" s="504"/>
      <c r="X44" s="500"/>
      <c r="Y44" s="503" t="s">
        <v>846</v>
      </c>
      <c r="Z44" s="505"/>
      <c r="AA44" s="506"/>
      <c r="AB44" s="499" t="s">
        <v>26</v>
      </c>
      <c r="AC44" s="500"/>
      <c r="AD44" s="506"/>
      <c r="AE44" s="498"/>
    </row>
    <row r="45" spans="1:31" ht="66.75">
      <c r="A45" s="498"/>
      <c r="B45" s="714"/>
      <c r="C45" s="507" t="s">
        <v>1107</v>
      </c>
      <c r="D45" s="508" t="s">
        <v>1139</v>
      </c>
      <c r="E45" s="509" t="s">
        <v>1109</v>
      </c>
      <c r="F45" s="510" t="s">
        <v>1110</v>
      </c>
      <c r="G45" s="510" t="s">
        <v>833</v>
      </c>
      <c r="H45" s="511" t="s">
        <v>1059</v>
      </c>
      <c r="I45" s="511" t="s">
        <v>342</v>
      </c>
      <c r="J45" s="512" t="s">
        <v>1089</v>
      </c>
      <c r="K45" s="511" t="s">
        <v>705</v>
      </c>
      <c r="L45" s="511" t="s">
        <v>1093</v>
      </c>
      <c r="M45" s="510" t="s">
        <v>1111</v>
      </c>
      <c r="N45" s="511" t="s">
        <v>1105</v>
      </c>
      <c r="O45" s="511" t="s">
        <v>1081</v>
      </c>
      <c r="P45" s="511" t="s">
        <v>1</v>
      </c>
      <c r="Q45" s="511" t="s">
        <v>969</v>
      </c>
      <c r="R45" s="510" t="s">
        <v>833</v>
      </c>
      <c r="S45" s="509" t="s">
        <v>1109</v>
      </c>
      <c r="T45" s="510" t="s">
        <v>1110</v>
      </c>
      <c r="U45" s="510" t="s">
        <v>1059</v>
      </c>
      <c r="V45" s="511" t="s">
        <v>705</v>
      </c>
      <c r="W45" s="510" t="s">
        <v>1093</v>
      </c>
      <c r="X45" s="510" t="s">
        <v>1111</v>
      </c>
      <c r="Y45" s="511" t="s">
        <v>1081</v>
      </c>
      <c r="Z45" s="510" t="s">
        <v>1</v>
      </c>
      <c r="AA45" s="510" t="s">
        <v>969</v>
      </c>
      <c r="AB45" s="510" t="s">
        <v>1040</v>
      </c>
      <c r="AC45" s="510" t="s">
        <v>1073</v>
      </c>
      <c r="AD45" s="510" t="s">
        <v>915</v>
      </c>
      <c r="AE45" s="498"/>
    </row>
    <row r="46" spans="1:31">
      <c r="A46" s="498"/>
      <c r="B46" s="513" t="s">
        <v>18</v>
      </c>
      <c r="C46" s="514" t="s">
        <v>1106</v>
      </c>
      <c r="D46" s="515"/>
      <c r="E46" s="515"/>
      <c r="F46" s="515"/>
      <c r="G46" s="515"/>
      <c r="H46" s="514" t="s">
        <v>38</v>
      </c>
      <c r="I46" s="514" t="s">
        <v>814</v>
      </c>
      <c r="J46" s="515"/>
      <c r="K46" s="514" t="s">
        <v>98</v>
      </c>
      <c r="L46" s="514" t="s">
        <v>98</v>
      </c>
      <c r="M46" s="514" t="s">
        <v>15</v>
      </c>
      <c r="N46" s="514" t="s">
        <v>41</v>
      </c>
      <c r="O46" s="514" t="s">
        <v>1142</v>
      </c>
      <c r="P46" s="516" t="s">
        <v>5</v>
      </c>
      <c r="Q46" s="514" t="s">
        <v>706</v>
      </c>
      <c r="R46" s="515"/>
      <c r="S46" s="515"/>
      <c r="T46" s="515"/>
      <c r="U46" s="514" t="s">
        <v>38</v>
      </c>
      <c r="V46" s="514" t="s">
        <v>98</v>
      </c>
      <c r="W46" s="514" t="s">
        <v>98</v>
      </c>
      <c r="X46" s="514" t="s">
        <v>15</v>
      </c>
      <c r="Y46" s="514" t="s">
        <v>1142</v>
      </c>
      <c r="Z46" s="516" t="s">
        <v>5</v>
      </c>
      <c r="AA46" s="514" t="s">
        <v>706</v>
      </c>
      <c r="AB46" s="514" t="s">
        <v>16</v>
      </c>
      <c r="AC46" s="516" t="s">
        <v>5</v>
      </c>
      <c r="AD46" s="514" t="s">
        <v>706</v>
      </c>
      <c r="AE46" s="498"/>
    </row>
    <row r="47" spans="1:31">
      <c r="A47" s="498"/>
      <c r="B47" s="517" t="s">
        <v>13</v>
      </c>
      <c r="C47" s="518"/>
      <c r="D47" s="519"/>
      <c r="E47" s="519"/>
      <c r="F47" s="519"/>
      <c r="G47" s="520"/>
      <c r="H47" s="521">
        <f>SUM(H48:H50)</f>
        <v>4</v>
      </c>
      <c r="I47" s="520"/>
      <c r="J47" s="519"/>
      <c r="K47" s="174">
        <f>SUMPRODUCT(K48:K50,H48:H50)</f>
        <v>5.6999999999999993</v>
      </c>
      <c r="L47" s="486">
        <f>SUMPRODUCT(L48:L50,H48:H50)</f>
        <v>4.8000000000000007</v>
      </c>
      <c r="M47" s="522"/>
      <c r="N47" s="169"/>
      <c r="O47" s="492">
        <f>SUM(O48:O50)</f>
        <v>45549.196799999998</v>
      </c>
      <c r="P47" s="493">
        <f>SUM(P48:P50)</f>
        <v>20.588236953599999</v>
      </c>
      <c r="Q47" s="172">
        <f>SUM(Q48:Q50)</f>
        <v>10.153462557081602</v>
      </c>
      <c r="R47" s="519"/>
      <c r="S47" s="519"/>
      <c r="T47" s="519"/>
      <c r="U47" s="521">
        <f>SUM(U48:U50)</f>
        <v>4</v>
      </c>
      <c r="V47" s="174">
        <f>SUMPRODUCT(V48:V50,U48:U50)</f>
        <v>5.6999999999999993</v>
      </c>
      <c r="W47" s="486">
        <f>SUMPRODUCT(W48:W50,U48:U50)</f>
        <v>4</v>
      </c>
      <c r="X47" s="522"/>
      <c r="Y47" s="492">
        <f t="shared" ref="Y47:AA47" si="7">SUM(Y48:Y57)</f>
        <v>26350.079999999998</v>
      </c>
      <c r="Z47" s="493">
        <f t="shared" si="7"/>
        <v>11.91023616</v>
      </c>
      <c r="AA47" s="172">
        <f t="shared" si="7"/>
        <v>5.8737490329600002</v>
      </c>
      <c r="AB47" s="492">
        <f t="shared" ref="AB47:AD47" si="8">SUM(AB48:AB50)</f>
        <v>19199.1168</v>
      </c>
      <c r="AC47" s="493">
        <f t="shared" si="8"/>
        <v>8.6780007936000008</v>
      </c>
      <c r="AD47" s="523">
        <f t="shared" si="8"/>
        <v>4.2797135241216004</v>
      </c>
      <c r="AE47" s="498"/>
    </row>
    <row r="48" spans="1:31">
      <c r="A48" s="498"/>
      <c r="B48" s="513" t="s">
        <v>122</v>
      </c>
      <c r="C48" s="524" t="s">
        <v>1108</v>
      </c>
      <c r="D48" s="525" t="s">
        <v>1118</v>
      </c>
      <c r="E48" s="525" t="s">
        <v>1120</v>
      </c>
      <c r="F48" s="518"/>
      <c r="G48" s="526" t="s">
        <v>1041</v>
      </c>
      <c r="H48" s="526">
        <v>1</v>
      </c>
      <c r="I48" s="526">
        <v>2005</v>
      </c>
      <c r="J48" s="527">
        <f t="shared" ref="J48:J50" si="9">IF(I48="",1,MIN(1.5,(2026-I48)*0.02+1))</f>
        <v>1.42</v>
      </c>
      <c r="K48" s="528">
        <v>2.5</v>
      </c>
      <c r="L48" s="529">
        <v>2</v>
      </c>
      <c r="M48" s="494" cm="1">
        <f t="array" ref="M48">_xlfn.IFS(C48="",100,C48="冷凍機内蔵型ショーケース",VLOOKUP(C48&amp;D48&amp;E48,'負荷率計算(冷凍冷蔵)'!$L$6:$M$14,2,FALSE),TRUE,VLOOKUP(C48&amp;F48,'負荷率計算(冷凍冷蔵)'!$L$18:$M$29,2,FALSE))</f>
        <v>85</v>
      </c>
      <c r="N48" s="378">
        <v>8760</v>
      </c>
      <c r="O48" s="361">
        <f>H48*L48*N48*M48*J48/100</f>
        <v>21146.639999999999</v>
      </c>
      <c r="P48" s="495">
        <f>O48*係数!$I$30</f>
        <v>9.5582812799999992</v>
      </c>
      <c r="Q48" s="105">
        <f>O48*係数!$C$30*0.0000258</f>
        <v>4.7138398156800001</v>
      </c>
      <c r="R48" s="526" t="s">
        <v>1046</v>
      </c>
      <c r="S48" s="525" t="s">
        <v>1120</v>
      </c>
      <c r="T48" s="518"/>
      <c r="U48" s="526">
        <v>1</v>
      </c>
      <c r="V48" s="528">
        <v>2.5</v>
      </c>
      <c r="W48" s="529">
        <v>1.8</v>
      </c>
      <c r="X48" s="494" cm="1">
        <f t="array" ref="X48">_xlfn.IFS(C48="",100,C48="冷凍機内蔵型ショーケース",VLOOKUP(C48&amp;D48&amp;S48,'負荷率計算(冷凍冷蔵)'!$L$6:$M$14,2,FALSE),TRUE,VLOOKUP(C48&amp;T48,'負荷率計算(冷凍冷蔵)'!$L$18:$M$29,2,FALSE))</f>
        <v>85</v>
      </c>
      <c r="Y48" s="361">
        <f>U48*W48*N48*X48/100</f>
        <v>13402.8</v>
      </c>
      <c r="Z48" s="495">
        <f>Y48*係数!$I$30</f>
        <v>6.0580655999999991</v>
      </c>
      <c r="AA48" s="105">
        <f>Y48*係数!$C$30*0.0000258</f>
        <v>2.9876449535999998</v>
      </c>
      <c r="AB48" s="207">
        <f t="shared" ref="AB48:AD50" si="10">O48-Y48</f>
        <v>7743.84</v>
      </c>
      <c r="AC48" s="530">
        <f t="shared" si="10"/>
        <v>3.5002156800000002</v>
      </c>
      <c r="AD48" s="137">
        <f t="shared" si="10"/>
        <v>1.7261948620800003</v>
      </c>
      <c r="AE48" s="498"/>
    </row>
    <row r="49" spans="1:31">
      <c r="A49" s="498"/>
      <c r="B49" s="513" t="s">
        <v>123</v>
      </c>
      <c r="C49" s="524" t="s">
        <v>1174</v>
      </c>
      <c r="D49" s="525"/>
      <c r="E49" s="525"/>
      <c r="F49" s="518" t="s">
        <v>1131</v>
      </c>
      <c r="G49" s="526" t="s">
        <v>1043</v>
      </c>
      <c r="H49" s="526">
        <v>1</v>
      </c>
      <c r="I49" s="526">
        <v>2005</v>
      </c>
      <c r="J49" s="527">
        <f t="shared" si="9"/>
        <v>1.42</v>
      </c>
      <c r="K49" s="528">
        <v>1.6</v>
      </c>
      <c r="L49" s="529">
        <v>1.2</v>
      </c>
      <c r="M49" s="494" cm="1">
        <f t="array" ref="M49">_xlfn.IFS(C49="",100,C49="冷凍機内蔵型ショーケース",VLOOKUP(C49&amp;D49&amp;E49,'負荷率計算(冷凍冷蔵)'!$L$6:$M$14,2,FALSE),TRUE,VLOOKUP(C49&amp;F49,'負荷率計算(冷凍冷蔵)'!$L$18:$M$29,2,FALSE))</f>
        <v>73</v>
      </c>
      <c r="N49" s="378">
        <v>8760</v>
      </c>
      <c r="O49" s="361">
        <f t="shared" ref="O49:O50" si="11">H49*L49*N49*M49*J49/100</f>
        <v>10896.7392</v>
      </c>
      <c r="P49" s="495">
        <f>O49*係数!$I$30</f>
        <v>4.9253261184000001</v>
      </c>
      <c r="Q49" s="105">
        <f>O49*係数!$C$30*0.0000258</f>
        <v>2.4290139285504</v>
      </c>
      <c r="R49" s="526" t="s">
        <v>1045</v>
      </c>
      <c r="S49" s="525"/>
      <c r="T49" s="518" t="s">
        <v>1141</v>
      </c>
      <c r="U49" s="526">
        <v>1</v>
      </c>
      <c r="V49" s="528">
        <v>1.6</v>
      </c>
      <c r="W49" s="529">
        <v>1</v>
      </c>
      <c r="X49" s="494" cm="1">
        <f t="array" ref="X49">_xlfn.IFS(C49="",100,C49="冷凍機内蔵型ショーケース",VLOOKUP(C49&amp;D49&amp;S49,'負荷率計算(冷凍冷蔵)'!$L$6:$M$14,2,FALSE),TRUE,VLOOKUP(C49&amp;T49,'負荷率計算(冷凍冷蔵)'!$L$18:$M$29,2,FALSE))</f>
        <v>65</v>
      </c>
      <c r="Y49" s="361">
        <f t="shared" ref="Y49:Y50" si="12">U49*W49*N49*X49/100</f>
        <v>5694</v>
      </c>
      <c r="Z49" s="495">
        <f>Y49*係数!$I$30</f>
        <v>2.5736879999999998</v>
      </c>
      <c r="AA49" s="105">
        <f>Y49*係数!$C$30*0.0000258</f>
        <v>1.269260928</v>
      </c>
      <c r="AB49" s="207">
        <f t="shared" si="10"/>
        <v>5202.7392</v>
      </c>
      <c r="AC49" s="530">
        <f t="shared" si="10"/>
        <v>2.3516381184000004</v>
      </c>
      <c r="AD49" s="137">
        <f t="shared" si="10"/>
        <v>1.1597530005504</v>
      </c>
      <c r="AE49" s="498"/>
    </row>
    <row r="50" spans="1:31">
      <c r="A50" s="498"/>
      <c r="B50" s="513" t="s">
        <v>124</v>
      </c>
      <c r="C50" s="524" t="s">
        <v>1175</v>
      </c>
      <c r="D50" s="525"/>
      <c r="E50" s="525"/>
      <c r="F50" s="518" t="s">
        <v>1131</v>
      </c>
      <c r="G50" s="526" t="s">
        <v>1042</v>
      </c>
      <c r="H50" s="526">
        <v>2</v>
      </c>
      <c r="I50" s="526">
        <v>2010</v>
      </c>
      <c r="J50" s="527">
        <f t="shared" si="9"/>
        <v>1.32</v>
      </c>
      <c r="K50" s="528">
        <v>0.8</v>
      </c>
      <c r="L50" s="529">
        <v>0.8</v>
      </c>
      <c r="M50" s="494" cm="1">
        <f t="array" ref="M50">_xlfn.IFS(C50="",100,C50="冷凍機内蔵型ショーケース",VLOOKUP(C50&amp;D50&amp;E50,'負荷率計算(冷凍冷蔵)'!$L$6:$M$14,2,FALSE),TRUE,VLOOKUP(C50&amp;F50,'負荷率計算(冷凍冷蔵)'!$L$18:$M$29,2,FALSE))</f>
        <v>73</v>
      </c>
      <c r="N50" s="378">
        <v>8760</v>
      </c>
      <c r="O50" s="361">
        <f t="shared" si="11"/>
        <v>13505.8176</v>
      </c>
      <c r="P50" s="495">
        <f>O50*係数!$I$30</f>
        <v>6.1046295551999998</v>
      </c>
      <c r="Q50" s="105">
        <f>O50*係数!$C$30*0.0000258</f>
        <v>3.0106088128512005</v>
      </c>
      <c r="R50" s="526" t="s">
        <v>1044</v>
      </c>
      <c r="S50" s="525"/>
      <c r="T50" s="518" t="s">
        <v>1141</v>
      </c>
      <c r="U50" s="526">
        <v>2</v>
      </c>
      <c r="V50" s="528">
        <v>0.8</v>
      </c>
      <c r="W50" s="529">
        <v>0.6</v>
      </c>
      <c r="X50" s="494" cm="1">
        <f t="array" ref="X50">_xlfn.IFS(C50="",100,C50="冷凍機内蔵型ショーケース",VLOOKUP(C50&amp;D50&amp;S50,'負荷率計算(冷凍冷蔵)'!$L$6:$M$14,2,FALSE),TRUE,VLOOKUP(C50&amp;T50,'負荷率計算(冷凍冷蔵)'!$L$18:$M$29,2,FALSE))</f>
        <v>69</v>
      </c>
      <c r="Y50" s="361">
        <f t="shared" si="12"/>
        <v>7253.28</v>
      </c>
      <c r="Z50" s="495">
        <f>Y50*係数!$I$30</f>
        <v>3.2784825599999996</v>
      </c>
      <c r="AA50" s="105">
        <f>Y50*係数!$C$30*0.0000258</f>
        <v>1.6168431513600001</v>
      </c>
      <c r="AB50" s="207">
        <f t="shared" si="10"/>
        <v>6252.5376000000006</v>
      </c>
      <c r="AC50" s="530">
        <f t="shared" si="10"/>
        <v>2.8261469952000002</v>
      </c>
      <c r="AD50" s="137">
        <f t="shared" si="10"/>
        <v>1.3937656614912004</v>
      </c>
      <c r="AE50" s="498"/>
    </row>
    <row r="51" spans="1:31">
      <c r="A51" s="498"/>
      <c r="B51" s="498"/>
      <c r="C51" s="498"/>
      <c r="D51" s="498"/>
      <c r="E51" s="498"/>
      <c r="F51" s="498"/>
      <c r="G51" s="498"/>
      <c r="H51" s="498"/>
      <c r="I51" s="498"/>
      <c r="J51" s="498"/>
      <c r="K51" s="498"/>
      <c r="L51" s="498"/>
      <c r="M51" s="498"/>
      <c r="N51" s="498"/>
      <c r="O51" s="498"/>
      <c r="P51" s="498"/>
      <c r="Q51" s="498"/>
      <c r="R51" s="498"/>
      <c r="S51" s="498"/>
      <c r="T51" s="498"/>
      <c r="U51" s="498"/>
      <c r="V51" s="498"/>
      <c r="W51" s="498"/>
      <c r="X51" s="498"/>
      <c r="Y51" s="498"/>
      <c r="Z51" s="498"/>
      <c r="AA51" s="498"/>
      <c r="AB51" s="498"/>
      <c r="AC51" s="498"/>
      <c r="AD51" s="498"/>
      <c r="AE51" s="498"/>
    </row>
    <row r="52" spans="1:31">
      <c r="A52" s="498"/>
      <c r="B52" s="498"/>
      <c r="C52" s="498"/>
      <c r="D52" s="498"/>
      <c r="E52" s="498"/>
      <c r="F52" s="498"/>
      <c r="G52" s="498"/>
      <c r="H52" s="498"/>
      <c r="I52" s="498"/>
      <c r="J52" s="498"/>
      <c r="K52" s="498"/>
      <c r="L52" s="498"/>
      <c r="M52" s="498"/>
      <c r="N52" s="498"/>
      <c r="O52" s="498"/>
      <c r="P52" s="498"/>
      <c r="Q52" s="498"/>
      <c r="R52" s="498"/>
      <c r="S52" s="498"/>
      <c r="T52" s="498"/>
      <c r="U52" s="498"/>
      <c r="V52" s="498"/>
      <c r="W52" s="498"/>
      <c r="X52" s="498"/>
      <c r="Y52" s="498"/>
      <c r="Z52" s="498"/>
      <c r="AA52" s="498"/>
      <c r="AB52" s="498"/>
      <c r="AC52" s="498"/>
      <c r="AD52" s="498"/>
      <c r="AE52" s="498"/>
    </row>
    <row r="53" spans="1:31">
      <c r="A53" s="498"/>
      <c r="B53" s="498"/>
      <c r="C53" s="498"/>
      <c r="D53" s="498"/>
      <c r="E53" s="498"/>
      <c r="F53" s="498"/>
      <c r="G53" s="498"/>
      <c r="H53" s="498"/>
      <c r="I53" s="498"/>
      <c r="J53" s="498"/>
      <c r="K53" s="498"/>
      <c r="L53" s="498"/>
      <c r="M53" s="498"/>
      <c r="N53" s="498"/>
      <c r="O53" s="498"/>
      <c r="P53" s="498"/>
      <c r="Q53" s="498"/>
      <c r="R53" s="498"/>
      <c r="S53" s="498"/>
      <c r="T53" s="498"/>
      <c r="U53" s="498"/>
      <c r="V53" s="498"/>
      <c r="W53" s="498"/>
      <c r="X53" s="498"/>
      <c r="Y53" s="498"/>
      <c r="Z53" s="498"/>
      <c r="AA53" s="498"/>
      <c r="AB53" s="498"/>
      <c r="AC53" s="498"/>
      <c r="AD53" s="498"/>
      <c r="AE53" s="498"/>
    </row>
    <row r="54" spans="1:31">
      <c r="A54" s="498"/>
      <c r="B54" s="498"/>
      <c r="C54" s="498"/>
      <c r="D54" s="498"/>
      <c r="E54" s="498"/>
      <c r="F54" s="498"/>
      <c r="G54" s="498"/>
      <c r="H54" s="498"/>
      <c r="I54" s="498"/>
      <c r="J54" s="498"/>
      <c r="K54" s="498"/>
      <c r="L54" s="498"/>
      <c r="M54" s="498"/>
      <c r="N54" s="498"/>
      <c r="O54" s="498"/>
      <c r="P54" s="498"/>
      <c r="Q54" s="498"/>
      <c r="R54" s="498"/>
      <c r="S54" s="498"/>
      <c r="T54" s="498"/>
      <c r="U54" s="498"/>
      <c r="V54" s="498"/>
      <c r="W54" s="498"/>
      <c r="X54" s="498"/>
      <c r="Y54" s="498"/>
      <c r="Z54" s="498"/>
      <c r="AA54" s="498"/>
      <c r="AB54" s="498"/>
      <c r="AC54" s="498"/>
      <c r="AD54" s="498"/>
      <c r="AE54" s="498"/>
    </row>
    <row r="55" spans="1:31">
      <c r="A55" s="498"/>
      <c r="B55" s="498"/>
      <c r="C55" s="498"/>
      <c r="D55" s="498"/>
      <c r="E55" s="498"/>
      <c r="F55" s="498"/>
      <c r="G55" s="498"/>
      <c r="H55" s="498"/>
      <c r="I55" s="498"/>
      <c r="J55" s="498"/>
      <c r="K55" s="498"/>
      <c r="L55" s="498"/>
      <c r="M55" s="498"/>
      <c r="N55" s="498"/>
      <c r="O55" s="498"/>
      <c r="P55" s="498"/>
      <c r="Q55" s="498"/>
      <c r="R55" s="498"/>
      <c r="S55" s="498"/>
      <c r="T55" s="498"/>
      <c r="U55" s="498"/>
      <c r="V55" s="498"/>
      <c r="W55" s="498"/>
      <c r="X55" s="498"/>
      <c r="Y55" s="498"/>
      <c r="Z55" s="498"/>
      <c r="AA55" s="498"/>
      <c r="AB55" s="498"/>
      <c r="AC55" s="498"/>
      <c r="AD55" s="498"/>
      <c r="AE55" s="498"/>
    </row>
    <row r="56" spans="1:31">
      <c r="A56" s="498"/>
      <c r="B56" s="498"/>
      <c r="C56" s="498"/>
      <c r="D56" s="498"/>
      <c r="E56" s="498"/>
      <c r="F56" s="498"/>
      <c r="G56" s="498"/>
      <c r="H56" s="498"/>
      <c r="I56" s="498"/>
      <c r="J56" s="498"/>
      <c r="K56" s="498"/>
      <c r="L56" s="498"/>
      <c r="M56" s="498"/>
      <c r="N56" s="498"/>
      <c r="O56" s="498"/>
      <c r="P56" s="498"/>
      <c r="Q56" s="498"/>
      <c r="R56" s="498"/>
      <c r="S56" s="498"/>
      <c r="T56" s="498"/>
      <c r="U56" s="498"/>
      <c r="V56" s="498"/>
      <c r="W56" s="498"/>
      <c r="X56" s="498"/>
      <c r="Y56" s="498"/>
      <c r="Z56" s="498"/>
      <c r="AA56" s="498"/>
      <c r="AB56" s="498"/>
      <c r="AC56" s="498"/>
      <c r="AD56" s="498"/>
      <c r="AE56" s="498"/>
    </row>
    <row r="57" spans="1:31">
      <c r="A57" s="498"/>
      <c r="B57" s="498"/>
      <c r="C57" s="498"/>
      <c r="D57" s="498"/>
      <c r="E57" s="498"/>
      <c r="F57" s="498"/>
      <c r="G57" s="498"/>
      <c r="H57" s="498"/>
      <c r="I57" s="498"/>
      <c r="J57" s="498"/>
      <c r="K57" s="498"/>
      <c r="L57" s="498"/>
      <c r="M57" s="498"/>
      <c r="N57" s="498"/>
      <c r="O57" s="498"/>
      <c r="P57" s="498"/>
      <c r="Q57" s="498"/>
      <c r="R57" s="498"/>
      <c r="S57" s="498"/>
      <c r="T57" s="498"/>
      <c r="U57" s="498"/>
      <c r="V57" s="498"/>
      <c r="W57" s="498"/>
      <c r="X57" s="498"/>
      <c r="Y57" s="498"/>
      <c r="Z57" s="498"/>
      <c r="AA57" s="498"/>
      <c r="AB57" s="498"/>
      <c r="AC57" s="498"/>
      <c r="AD57" s="498"/>
      <c r="AE57" s="498"/>
    </row>
    <row r="58" spans="1:31">
      <c r="A58" s="498"/>
      <c r="B58" s="498"/>
      <c r="C58" s="498"/>
      <c r="D58" s="498"/>
      <c r="E58" s="498"/>
      <c r="F58" s="498"/>
      <c r="G58" s="498"/>
      <c r="H58" s="498"/>
      <c r="I58" s="498"/>
      <c r="J58" s="498"/>
      <c r="K58" s="498"/>
      <c r="L58" s="498"/>
      <c r="M58" s="498"/>
      <c r="N58" s="498"/>
      <c r="O58" s="498"/>
      <c r="P58" s="498"/>
      <c r="Q58" s="498"/>
      <c r="R58" s="498"/>
      <c r="S58" s="498"/>
      <c r="T58" s="498"/>
      <c r="U58" s="498"/>
      <c r="V58" s="498"/>
      <c r="W58" s="498"/>
      <c r="X58" s="498"/>
      <c r="Y58" s="498"/>
      <c r="Z58" s="498"/>
      <c r="AA58" s="498"/>
      <c r="AB58" s="498"/>
      <c r="AC58" s="498"/>
      <c r="AD58" s="498"/>
      <c r="AE58" s="498"/>
    </row>
    <row r="59" spans="1:31">
      <c r="A59" s="498"/>
      <c r="B59" s="498"/>
      <c r="C59" s="498"/>
      <c r="D59" s="498"/>
      <c r="E59" s="498"/>
      <c r="F59" s="498"/>
      <c r="G59" s="498"/>
      <c r="H59" s="498"/>
      <c r="I59" s="498"/>
      <c r="J59" s="498"/>
      <c r="K59" s="498"/>
      <c r="L59" s="498"/>
      <c r="M59" s="498"/>
      <c r="N59" s="498"/>
      <c r="O59" s="498"/>
      <c r="P59" s="498"/>
      <c r="Q59" s="498"/>
      <c r="R59" s="498"/>
      <c r="S59" s="498"/>
      <c r="T59" s="498"/>
      <c r="U59" s="498"/>
      <c r="V59" s="498"/>
      <c r="W59" s="498"/>
      <c r="X59" s="498"/>
      <c r="Y59" s="498"/>
      <c r="Z59" s="498"/>
      <c r="AA59" s="498"/>
      <c r="AB59" s="498"/>
      <c r="AC59" s="498"/>
      <c r="AD59" s="498"/>
      <c r="AE59" s="498"/>
    </row>
    <row r="60" spans="1:31">
      <c r="A60" s="498"/>
      <c r="B60" s="498"/>
      <c r="C60" s="498"/>
      <c r="D60" s="498"/>
      <c r="E60" s="498"/>
      <c r="F60" s="498"/>
      <c r="G60" s="498"/>
      <c r="H60" s="498"/>
      <c r="I60" s="498"/>
      <c r="J60" s="498"/>
      <c r="K60" s="498"/>
      <c r="L60" s="498"/>
      <c r="M60" s="498"/>
      <c r="N60" s="498"/>
      <c r="O60" s="498"/>
      <c r="P60" s="498"/>
      <c r="Q60" s="498"/>
      <c r="R60" s="498"/>
      <c r="S60" s="498"/>
      <c r="T60" s="498"/>
      <c r="U60" s="498"/>
      <c r="V60" s="498"/>
      <c r="W60" s="498"/>
      <c r="X60" s="498"/>
      <c r="Y60" s="498"/>
      <c r="Z60" s="498"/>
      <c r="AA60" s="498"/>
      <c r="AB60" s="498"/>
      <c r="AC60" s="498"/>
      <c r="AD60" s="498"/>
      <c r="AE60" s="498"/>
    </row>
    <row r="61" spans="1:31">
      <c r="A61" s="498"/>
      <c r="B61" s="498"/>
      <c r="C61" s="498"/>
      <c r="D61" s="498"/>
      <c r="E61" s="498"/>
      <c r="F61" s="498"/>
      <c r="G61" s="498"/>
      <c r="H61" s="498"/>
      <c r="I61" s="498"/>
      <c r="J61" s="498"/>
      <c r="K61" s="498"/>
      <c r="L61" s="498"/>
      <c r="M61" s="498"/>
      <c r="N61" s="498"/>
      <c r="O61" s="498"/>
      <c r="P61" s="498"/>
      <c r="Q61" s="498"/>
      <c r="R61" s="498"/>
      <c r="S61" s="498"/>
      <c r="T61" s="498"/>
      <c r="U61" s="498"/>
      <c r="V61" s="498"/>
      <c r="W61" s="498"/>
      <c r="X61" s="498"/>
      <c r="Y61" s="498"/>
      <c r="Z61" s="498"/>
      <c r="AA61" s="498"/>
      <c r="AB61" s="498"/>
      <c r="AC61" s="498"/>
      <c r="AD61" s="498"/>
      <c r="AE61" s="498"/>
    </row>
    <row r="62" spans="1:31">
      <c r="A62" s="498"/>
      <c r="B62" s="498"/>
      <c r="C62" s="498"/>
      <c r="D62" s="498"/>
      <c r="E62" s="498"/>
      <c r="F62" s="498"/>
      <c r="G62" s="498"/>
      <c r="H62" s="498"/>
      <c r="I62" s="498"/>
      <c r="J62" s="498"/>
      <c r="K62" s="498"/>
      <c r="L62" s="498"/>
      <c r="M62" s="498"/>
      <c r="N62" s="498"/>
      <c r="O62" s="498"/>
      <c r="P62" s="498"/>
      <c r="Q62" s="498"/>
      <c r="R62" s="498"/>
      <c r="S62" s="498"/>
      <c r="T62" s="498"/>
      <c r="U62" s="498"/>
      <c r="V62" s="498"/>
      <c r="W62" s="498"/>
      <c r="X62" s="498"/>
      <c r="Y62" s="498"/>
      <c r="Z62" s="498"/>
      <c r="AA62" s="498"/>
      <c r="AB62" s="498"/>
      <c r="AC62" s="498"/>
      <c r="AD62" s="498"/>
      <c r="AE62" s="498"/>
    </row>
    <row r="63" spans="1:31">
      <c r="A63" s="498"/>
      <c r="B63" s="498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P63" s="498"/>
      <c r="Q63" s="498"/>
      <c r="R63" s="498"/>
      <c r="S63" s="498"/>
      <c r="T63" s="498"/>
      <c r="U63" s="498"/>
      <c r="V63" s="498"/>
      <c r="W63" s="498"/>
      <c r="X63" s="498"/>
      <c r="Y63" s="498"/>
      <c r="Z63" s="498"/>
      <c r="AA63" s="498"/>
      <c r="AB63" s="498"/>
      <c r="AC63" s="498"/>
      <c r="AD63" s="498"/>
      <c r="AE63" s="498"/>
    </row>
    <row r="64" spans="1:31">
      <c r="A64" s="498"/>
      <c r="B64" s="498"/>
      <c r="C64" s="498"/>
      <c r="D64" s="498"/>
      <c r="E64" s="498"/>
      <c r="F64" s="498"/>
      <c r="G64" s="498"/>
      <c r="H64" s="498"/>
      <c r="I64" s="498"/>
      <c r="J64" s="498"/>
      <c r="K64" s="498"/>
      <c r="L64" s="498"/>
      <c r="M64" s="498"/>
      <c r="N64" s="498"/>
      <c r="O64" s="498"/>
      <c r="P64" s="498"/>
      <c r="Q64" s="498"/>
      <c r="R64" s="498"/>
      <c r="S64" s="498"/>
      <c r="T64" s="498"/>
      <c r="U64" s="498"/>
      <c r="V64" s="498"/>
      <c r="W64" s="498"/>
      <c r="X64" s="498"/>
      <c r="Y64" s="498"/>
      <c r="Z64" s="498"/>
      <c r="AA64" s="498"/>
      <c r="AB64" s="498"/>
      <c r="AC64" s="498"/>
      <c r="AD64" s="498"/>
      <c r="AE64" s="498"/>
    </row>
    <row r="65" spans="1:31">
      <c r="A65" s="498"/>
      <c r="B65" s="498"/>
      <c r="C65" s="498"/>
      <c r="D65" s="498"/>
      <c r="E65" s="498"/>
      <c r="F65" s="498"/>
      <c r="G65" s="498"/>
      <c r="H65" s="498"/>
      <c r="I65" s="498"/>
      <c r="J65" s="498"/>
      <c r="K65" s="498"/>
      <c r="L65" s="498"/>
      <c r="M65" s="498"/>
      <c r="N65" s="498"/>
      <c r="O65" s="498"/>
      <c r="P65" s="498"/>
      <c r="Q65" s="498"/>
      <c r="R65" s="498"/>
      <c r="S65" s="498"/>
      <c r="T65" s="498"/>
      <c r="U65" s="498"/>
      <c r="V65" s="498"/>
      <c r="W65" s="498"/>
      <c r="X65" s="498"/>
      <c r="Y65" s="498"/>
      <c r="Z65" s="498"/>
      <c r="AA65" s="498"/>
      <c r="AB65" s="498"/>
      <c r="AC65" s="498"/>
      <c r="AD65" s="498"/>
      <c r="AE65" s="498"/>
    </row>
    <row r="66" spans="1:31">
      <c r="A66" s="498"/>
      <c r="B66" s="498"/>
      <c r="C66" s="498"/>
      <c r="D66" s="498"/>
      <c r="E66" s="498"/>
      <c r="F66" s="498"/>
      <c r="G66" s="498"/>
      <c r="H66" s="498"/>
      <c r="I66" s="498"/>
      <c r="J66" s="498"/>
      <c r="K66" s="498"/>
      <c r="L66" s="498"/>
      <c r="M66" s="498"/>
      <c r="N66" s="498"/>
      <c r="O66" s="498"/>
      <c r="P66" s="498"/>
      <c r="Q66" s="498"/>
      <c r="R66" s="498"/>
      <c r="S66" s="498"/>
      <c r="T66" s="498"/>
      <c r="U66" s="498"/>
      <c r="V66" s="498"/>
      <c r="W66" s="498"/>
      <c r="X66" s="498"/>
      <c r="Y66" s="498"/>
      <c r="Z66" s="498"/>
      <c r="AA66" s="498"/>
      <c r="AB66" s="498"/>
      <c r="AC66" s="498"/>
      <c r="AD66" s="498"/>
      <c r="AE66" s="498"/>
    </row>
  </sheetData>
  <sheetProtection algorithmName="SHA-512" hashValue="c4ClbHPiUI0ekghqQs8YOWP+dIvk9IrgN8+9vpjQtmj9S5i5Z8Q+34K4II7DTIEUIlsjKzIFUAk7AIxsRBxLgQ==" saltValue="/mVZbtJfV10UElwPcsHXRA==" spinCount="100000" sheet="1" objects="1" scenarios="1" formatCells="0" formatColumns="0" formatRows="0"/>
  <mergeCells count="14">
    <mergeCell ref="U3:AD3"/>
    <mergeCell ref="B4:C4"/>
    <mergeCell ref="U4:AD4"/>
    <mergeCell ref="B6:C6"/>
    <mergeCell ref="B5:C5"/>
    <mergeCell ref="U8:V8"/>
    <mergeCell ref="B20:B21"/>
    <mergeCell ref="B44:B45"/>
    <mergeCell ref="W10:X10"/>
    <mergeCell ref="U7:V7"/>
    <mergeCell ref="W7:AD8"/>
    <mergeCell ref="U12:Y12"/>
    <mergeCell ref="B7:C7"/>
    <mergeCell ref="Z12:AG12"/>
  </mergeCells>
  <phoneticPr fontId="8"/>
  <conditionalFormatting sqref="D24:D33">
    <cfRule type="expression" dxfId="27" priority="21">
      <formula>$C24="冷凍機内蔵型ショーケース"</formula>
    </cfRule>
  </conditionalFormatting>
  <conditionalFormatting sqref="D48:E50">
    <cfRule type="expression" dxfId="26" priority="3">
      <formula>$C48="冷凍機内蔵型ショーケース"</formula>
    </cfRule>
  </conditionalFormatting>
  <conditionalFormatting sqref="E24:E28 E31:E33">
    <cfRule type="expression" dxfId="25" priority="22">
      <formula>$C24="冷凍機内蔵型ショーケース"</formula>
    </cfRule>
  </conditionalFormatting>
  <conditionalFormatting sqref="E29">
    <cfRule type="expression" dxfId="24" priority="89">
      <formula>$C30="冷凍機内蔵型ショーケース"</formula>
    </cfRule>
  </conditionalFormatting>
  <conditionalFormatting sqref="E7:F7">
    <cfRule type="expression" dxfId="23" priority="34">
      <formula>$G$1="なし"</formula>
    </cfRule>
  </conditionalFormatting>
  <conditionalFormatting sqref="F24:F33">
    <cfRule type="expression" dxfId="22" priority="18">
      <formula>AND($C24&lt;&gt;"冷凍機内蔵型ショーケース",$C24&lt;&gt;"")</formula>
    </cfRule>
  </conditionalFormatting>
  <conditionalFormatting sqref="F48:F50">
    <cfRule type="expression" dxfId="21" priority="2">
      <formula>AND($C48&lt;&gt;"冷凍機内蔵型ショーケース",$C48&lt;&gt;"")</formula>
    </cfRule>
  </conditionalFormatting>
  <conditionalFormatting sqref="I24:I33">
    <cfRule type="expression" dxfId="20" priority="29">
      <formula>#REF!&lt;&gt;"給湯器（HP）"</formula>
    </cfRule>
  </conditionalFormatting>
  <conditionalFormatting sqref="I48:I50">
    <cfRule type="expression" dxfId="19" priority="27">
      <formula>#REF!&lt;&gt;"給湯器（HP）"</formula>
    </cfRule>
  </conditionalFormatting>
  <conditionalFormatting sqref="S24:S33">
    <cfRule type="expression" dxfId="18" priority="19">
      <formula>$C24="冷凍機内蔵型ショーケース"</formula>
    </cfRule>
  </conditionalFormatting>
  <conditionalFormatting sqref="S48:S50">
    <cfRule type="expression" dxfId="17" priority="11">
      <formula>$C48="冷凍機内蔵型ショーケース"</formula>
    </cfRule>
  </conditionalFormatting>
  <conditionalFormatting sqref="T24:T33">
    <cfRule type="expression" dxfId="16" priority="5">
      <formula>AND($C24&lt;&gt;"冷凍機内蔵型ショーケース",$C24&lt;&gt;"")</formula>
    </cfRule>
  </conditionalFormatting>
  <conditionalFormatting sqref="T48:T50">
    <cfRule type="expression" dxfId="15" priority="4">
      <formula>AND($C48&lt;&gt;"冷凍機内蔵型ショーケース",$C48&lt;&gt;"")</formula>
    </cfRule>
  </conditionalFormatting>
  <conditionalFormatting sqref="U8">
    <cfRule type="expression" dxfId="14" priority="6">
      <formula>OR($U$8="増加",$U$8="減少")</formula>
    </cfRule>
  </conditionalFormatting>
  <conditionalFormatting sqref="W7">
    <cfRule type="cellIs" dxfId="13" priority="8" operator="notEqual">
      <formula>"ー"</formula>
    </cfRule>
  </conditionalFormatting>
  <conditionalFormatting sqref="AA24 AA25:AB33">
    <cfRule type="expression" dxfId="12" priority="26">
      <formula>$F$1="なし"</formula>
    </cfRule>
  </conditionalFormatting>
  <conditionalFormatting sqref="AA48:AB50">
    <cfRule type="expression" dxfId="11" priority="9">
      <formula>$F$1="なし"</formula>
    </cfRule>
  </conditionalFormatting>
  <conditionalFormatting sqref="AB24:AB33">
    <cfRule type="expression" dxfId="10" priority="25">
      <formula>$F$1="なし"</formula>
    </cfRule>
  </conditionalFormatting>
  <conditionalFormatting sqref="AD24:AD33">
    <cfRule type="expression" dxfId="9" priority="33">
      <formula>$F$1="なし"</formula>
    </cfRule>
  </conditionalFormatting>
  <conditionalFormatting sqref="AD48:AD50">
    <cfRule type="expression" dxfId="8" priority="28">
      <formula>$F$1="なし"</formula>
    </cfRule>
  </conditionalFormatting>
  <dataValidations count="1">
    <dataValidation type="list" allowBlank="1" showInputMessage="1" showErrorMessage="1" sqref="S24:S33 S48:S50" xr:uid="{E7137A42-905A-4261-B62D-67300CB9EE4A}">
      <formula1>"　　,オープン,クローズド"</formula1>
    </dataValidation>
  </dataValidations>
  <hyperlinks>
    <hyperlink ref="Z12" location="search" display="https://sii.or.jp/setsubi07r/search/maker?tab=maker&amp;category=refrigeration#search" xr:uid="{B245A5FE-3E9A-4961-9402-4648A9CED820}"/>
  </hyperlinks>
  <pageMargins left="0.7" right="0.7" top="0.75" bottom="0.75" header="0.3" footer="0.3"/>
  <pageSetup paperSize="8" scale="49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A80D6C3F-8723-4BF4-B20D-40A81B3A97A6}">
          <x14:formula1>
            <xm:f>'負荷率計算(冷凍冷蔵)'!$E$4:$E$6</xm:f>
          </x14:formula1>
          <xm:sqref>T48:T50 F24:F33 T24:T33 F48:F50</xm:sqref>
        </x14:dataValidation>
        <x14:dataValidation type="list" allowBlank="1" showInputMessage="1" showErrorMessage="1" xr:uid="{A796D37A-912D-4780-82AA-B8E4B51C1DAD}">
          <x14:formula1>
            <xm:f>'負荷率計算(冷凍冷蔵)'!$B$4:$B$9</xm:f>
          </x14:formula1>
          <xm:sqref>C24:C33 C48:C50</xm:sqref>
        </x14:dataValidation>
        <x14:dataValidation type="list" allowBlank="1" showInputMessage="1" showErrorMessage="1" xr:uid="{0675C70D-F9ED-4B8B-A8E7-42A95BBB9E94}">
          <x14:formula1>
            <xm:f>'負荷率計算(冷凍冷蔵)'!$C$4:$C$6</xm:f>
          </x14:formula1>
          <xm:sqref>D24:D33</xm:sqref>
        </x14:dataValidation>
        <x14:dataValidation type="list" allowBlank="1" showInputMessage="1" showErrorMessage="1" xr:uid="{DF23247D-B56D-424A-ADB7-22F7FEC43EE3}">
          <x14:formula1>
            <xm:f>'負荷率計算(冷凍冷蔵)'!$D$4:$D$6</xm:f>
          </x14:formula1>
          <xm:sqref>E24:E33 E48:E50</xm:sqref>
        </x14:dataValidation>
        <x14:dataValidation type="list" allowBlank="1" showInputMessage="1" showErrorMessage="1" xr:uid="{B691498E-33E8-4EDB-A8E6-AD9EB304BB43}">
          <x14:formula1>
            <xm:f>'負荷率計算(冷凍冷蔵)'!#REF!</xm:f>
          </x14:formula1>
          <xm:sqref>D48:D50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A37"/>
  <sheetViews>
    <sheetView zoomScale="70" zoomScaleNormal="70" workbookViewId="0">
      <selection activeCell="I31" sqref="I31"/>
    </sheetView>
  </sheetViews>
  <sheetFormatPr defaultColWidth="8.875" defaultRowHeight="18.75"/>
  <cols>
    <col min="1" max="1" width="10.5" customWidth="1"/>
    <col min="2" max="2" width="9.625" customWidth="1"/>
    <col min="3" max="7" width="10.375" customWidth="1"/>
    <col min="8" max="8" width="13" customWidth="1"/>
    <col min="9" max="9" width="13.875" customWidth="1"/>
    <col min="10" max="12" width="10.375" customWidth="1"/>
    <col min="13" max="13" width="12.875" customWidth="1"/>
    <col min="14" max="25" width="10.375" customWidth="1"/>
    <col min="27" max="27" width="10.125" bestFit="1" customWidth="1"/>
  </cols>
  <sheetData>
    <row r="1" spans="1:27" ht="30">
      <c r="A1" s="11" t="s">
        <v>137</v>
      </c>
      <c r="G1" s="70"/>
      <c r="I1" s="73"/>
      <c r="L1" s="74"/>
    </row>
    <row r="2" spans="1:27" ht="30">
      <c r="A2" s="11" t="s">
        <v>138</v>
      </c>
    </row>
    <row r="3" spans="1:27">
      <c r="D3" s="700" t="s">
        <v>17</v>
      </c>
      <c r="E3" s="701"/>
      <c r="F3" s="59" t="s">
        <v>18</v>
      </c>
      <c r="G3" s="38" t="s">
        <v>19</v>
      </c>
      <c r="H3" s="38" t="s">
        <v>20</v>
      </c>
      <c r="I3" s="38" t="s">
        <v>21</v>
      </c>
      <c r="J3" s="60" t="s">
        <v>22</v>
      </c>
      <c r="M3" s="738" t="s">
        <v>340</v>
      </c>
      <c r="N3" s="739"/>
      <c r="O3" s="739"/>
      <c r="P3" s="739"/>
      <c r="Q3" s="739"/>
      <c r="R3" s="739"/>
      <c r="S3" s="739"/>
      <c r="T3" s="739"/>
      <c r="U3" s="740"/>
    </row>
    <row r="4" spans="1:27">
      <c r="D4" s="702" t="s">
        <v>93</v>
      </c>
      <c r="E4" s="703"/>
      <c r="F4" s="89" t="s">
        <v>16</v>
      </c>
      <c r="G4" s="6">
        <f>K17</f>
        <v>0</v>
      </c>
      <c r="H4" s="6">
        <f>V17</f>
        <v>0</v>
      </c>
      <c r="I4" s="14">
        <f>G4-H4</f>
        <v>0</v>
      </c>
      <c r="J4" s="8">
        <f>IF(OR(G4=0,I4=0),0,I4/G4)</f>
        <v>0</v>
      </c>
      <c r="M4" s="741"/>
      <c r="N4" s="742"/>
      <c r="O4" s="742"/>
      <c r="P4" s="742"/>
      <c r="Q4" s="742"/>
      <c r="R4" s="742"/>
      <c r="S4" s="742"/>
      <c r="T4" s="742"/>
      <c r="U4" s="743"/>
    </row>
    <row r="5" spans="1:27">
      <c r="D5" s="700" t="s">
        <v>139</v>
      </c>
      <c r="E5" s="701"/>
      <c r="F5" s="67" t="str">
        <f>$G$9&amp;"/年"</f>
        <v>㎥/年</v>
      </c>
      <c r="G5" s="6">
        <f>L17</f>
        <v>0</v>
      </c>
      <c r="H5" s="6">
        <f>W17</f>
        <v>0</v>
      </c>
      <c r="I5" s="14">
        <f>G5-H5</f>
        <v>0</v>
      </c>
      <c r="J5" s="8">
        <f>IF(OR(G5=0,I5=0),0,I5/G5)</f>
        <v>0</v>
      </c>
      <c r="M5" s="98" t="s">
        <v>193</v>
      </c>
    </row>
    <row r="6" spans="1:27">
      <c r="D6" s="702" t="s">
        <v>94</v>
      </c>
      <c r="E6" s="703"/>
      <c r="F6" s="62" t="s">
        <v>5</v>
      </c>
      <c r="G6" s="36">
        <f>M17</f>
        <v>0</v>
      </c>
      <c r="H6" s="36">
        <f>X17</f>
        <v>0</v>
      </c>
      <c r="I6" s="76">
        <f>G6-H6</f>
        <v>0</v>
      </c>
      <c r="J6" s="8">
        <f>IF(OR(G6=0,I6=0),0,I6/G6)</f>
        <v>0</v>
      </c>
    </row>
    <row r="7" spans="1:27">
      <c r="D7" s="736" t="s">
        <v>1178</v>
      </c>
      <c r="E7" s="737"/>
      <c r="F7" s="89" t="s">
        <v>24</v>
      </c>
      <c r="G7" s="100">
        <f>IF(OR(G4=0,G5=0,$H$9=""),0,(G4*係数!$C$30+G5*$H$9)*0.0000258)</f>
        <v>0</v>
      </c>
      <c r="H7" s="100">
        <f>IF(OR(H4=0,H5=0,$H$9=""),0,(H4*係数!$C$30+H5*$H$9)*0.0000258)</f>
        <v>0</v>
      </c>
      <c r="I7" s="153">
        <f>G7-H7</f>
        <v>0</v>
      </c>
      <c r="J7" s="8">
        <f>IF(OR(G7=0,I7=0),0,I7/G7)</f>
        <v>0</v>
      </c>
    </row>
    <row r="8" spans="1:27">
      <c r="D8" s="63" t="s">
        <v>104</v>
      </c>
      <c r="E8" s="90" t="s">
        <v>105</v>
      </c>
      <c r="F8" s="66"/>
      <c r="G8" s="59" t="s">
        <v>108</v>
      </c>
      <c r="H8" s="59" t="s">
        <v>109</v>
      </c>
    </row>
    <row r="9" spans="1:27">
      <c r="D9" s="407" t="s">
        <v>110</v>
      </c>
      <c r="E9" s="9">
        <f>IF(D9="","",VLOOKUP(D9,係数!$B$3:$J$30,8,FALSE))</f>
        <v>2.0500000000000002E-3</v>
      </c>
      <c r="F9" s="9" t="str">
        <f>IF(D9="","",VLOOKUP(D9,係数!$B$3:$J$30,9,FALSE))</f>
        <v>tCO2/㎥</v>
      </c>
      <c r="G9" s="12" t="str">
        <f>IF(D9="","",VLOOKUP(D9,係数!$B$3:$J$30,5,FALSE))</f>
        <v>㎥</v>
      </c>
      <c r="H9" s="40">
        <f>IF(D9="","",VLOOKUP(D9,係数!$B$3:$J$30,2,FALSE))</f>
        <v>45</v>
      </c>
    </row>
    <row r="10" spans="1:27">
      <c r="A10" s="15"/>
    </row>
    <row r="11" spans="1:27">
      <c r="A11" t="s">
        <v>25</v>
      </c>
    </row>
    <row r="13" spans="1:27">
      <c r="B13" s="59"/>
      <c r="C13" s="64" t="s">
        <v>19</v>
      </c>
      <c r="D13" s="65"/>
      <c r="E13" s="65"/>
      <c r="F13" s="65"/>
      <c r="G13" s="65"/>
      <c r="H13" s="65"/>
      <c r="I13" s="65"/>
      <c r="J13" s="65"/>
      <c r="K13" s="65"/>
      <c r="L13" s="66"/>
      <c r="M13" s="64" t="s">
        <v>20</v>
      </c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6"/>
      <c r="Y13" s="64" t="s">
        <v>26</v>
      </c>
      <c r="Z13" s="65"/>
      <c r="AA13" s="66"/>
    </row>
    <row r="14" spans="1:27" ht="37.5">
      <c r="B14" s="97" t="s">
        <v>17</v>
      </c>
      <c r="C14" s="101" t="s">
        <v>27</v>
      </c>
      <c r="D14" s="63" t="s">
        <v>112</v>
      </c>
      <c r="E14" s="101" t="s">
        <v>28</v>
      </c>
      <c r="F14" s="101" t="s">
        <v>114</v>
      </c>
      <c r="G14" s="101" t="s">
        <v>29</v>
      </c>
      <c r="H14" s="101" t="s">
        <v>702</v>
      </c>
      <c r="I14" s="101" t="s">
        <v>33</v>
      </c>
      <c r="J14" s="101" t="s">
        <v>703</v>
      </c>
      <c r="K14" s="101" t="s">
        <v>30</v>
      </c>
      <c r="L14" s="101" t="s">
        <v>116</v>
      </c>
      <c r="M14" s="101" t="s">
        <v>117</v>
      </c>
      <c r="N14" s="101" t="s">
        <v>27</v>
      </c>
      <c r="O14" s="63" t="s">
        <v>112</v>
      </c>
      <c r="P14" s="101" t="s">
        <v>31</v>
      </c>
      <c r="Q14" s="101" t="s">
        <v>118</v>
      </c>
      <c r="R14" s="101" t="s">
        <v>32</v>
      </c>
      <c r="S14" s="101" t="s">
        <v>702</v>
      </c>
      <c r="T14" s="101" t="s">
        <v>33</v>
      </c>
      <c r="U14" s="101" t="s">
        <v>704</v>
      </c>
      <c r="V14" s="101" t="s">
        <v>34</v>
      </c>
      <c r="W14" s="101" t="s">
        <v>119</v>
      </c>
      <c r="X14" s="101" t="s">
        <v>35</v>
      </c>
      <c r="Y14" s="101" t="s">
        <v>36</v>
      </c>
      <c r="Z14" s="101" t="s">
        <v>106</v>
      </c>
      <c r="AA14" s="101" t="s">
        <v>120</v>
      </c>
    </row>
    <row r="15" spans="1:27">
      <c r="B15" s="59" t="s">
        <v>18</v>
      </c>
      <c r="C15" s="59"/>
      <c r="D15" s="89"/>
      <c r="E15" s="89" t="s">
        <v>98</v>
      </c>
      <c r="F15" s="68" t="str">
        <f>$G$9&amp;"/(台・h)"</f>
        <v>㎥/(台・h)</v>
      </c>
      <c r="G15" s="89" t="s">
        <v>38</v>
      </c>
      <c r="H15" s="89" t="s">
        <v>39</v>
      </c>
      <c r="I15" s="89" t="s">
        <v>40</v>
      </c>
      <c r="J15" s="89" t="s">
        <v>41</v>
      </c>
      <c r="K15" s="89" t="s">
        <v>16</v>
      </c>
      <c r="L15" s="67" t="str">
        <f>$G$9&amp;"/年"</f>
        <v>㎥/年</v>
      </c>
      <c r="M15" s="62" t="s">
        <v>5</v>
      </c>
      <c r="N15" s="62"/>
      <c r="O15" s="89"/>
      <c r="P15" s="89" t="s">
        <v>98</v>
      </c>
      <c r="Q15" s="68" t="str">
        <f>$G$9&amp;"/(台・h)"</f>
        <v>㎥/(台・h)</v>
      </c>
      <c r="R15" s="89" t="s">
        <v>38</v>
      </c>
      <c r="S15" s="89" t="s">
        <v>39</v>
      </c>
      <c r="T15" s="89" t="s">
        <v>40</v>
      </c>
      <c r="U15" s="89" t="s">
        <v>41</v>
      </c>
      <c r="V15" s="89" t="s">
        <v>16</v>
      </c>
      <c r="W15" s="67" t="str">
        <f>$G$9&amp;"/年"</f>
        <v>㎥/年</v>
      </c>
      <c r="X15" s="62" t="s">
        <v>5</v>
      </c>
      <c r="Y15" s="89" t="s">
        <v>16</v>
      </c>
      <c r="Z15" s="67" t="str">
        <f>$G$9&amp;"/年"</f>
        <v>㎥/年</v>
      </c>
      <c r="AA15" s="62" t="s">
        <v>5</v>
      </c>
    </row>
    <row r="16" spans="1:27">
      <c r="B16" s="78" t="s">
        <v>194</v>
      </c>
      <c r="C16" s="78"/>
      <c r="D16" s="79"/>
      <c r="E16" s="488">
        <v>0.2</v>
      </c>
      <c r="F16" s="488">
        <v>0.3</v>
      </c>
      <c r="G16" s="80">
        <v>6</v>
      </c>
      <c r="H16" s="80">
        <v>10</v>
      </c>
      <c r="I16" s="80">
        <v>150</v>
      </c>
      <c r="J16" s="81">
        <f>H16*I16</f>
        <v>1500</v>
      </c>
      <c r="K16" s="81">
        <f>E16*G16*J16</f>
        <v>1800.0000000000002</v>
      </c>
      <c r="L16" s="81">
        <f>F16*G16*J16</f>
        <v>2699.9999999999995</v>
      </c>
      <c r="M16" s="82">
        <f>K16*係数!$I$30+L16*0.0024895</f>
        <v>7.5352499999999987</v>
      </c>
      <c r="N16" s="83"/>
      <c r="O16" s="79"/>
      <c r="P16" s="488">
        <v>0.1</v>
      </c>
      <c r="Q16" s="488">
        <v>0.2</v>
      </c>
      <c r="R16" s="84">
        <v>5</v>
      </c>
      <c r="S16" s="80">
        <v>12</v>
      </c>
      <c r="T16" s="80">
        <v>100</v>
      </c>
      <c r="U16" s="81">
        <f>S16*T16</f>
        <v>1200</v>
      </c>
      <c r="V16" s="81">
        <f>P16*R16*U16</f>
        <v>600</v>
      </c>
      <c r="W16" s="81">
        <f>Q16*R16*U16</f>
        <v>1200</v>
      </c>
      <c r="X16" s="82">
        <f>V16*係数!$I$30+W16*0.0024895</f>
        <v>3.2585999999999999</v>
      </c>
      <c r="Y16" s="476">
        <f>K16-V16</f>
        <v>1200.0000000000002</v>
      </c>
      <c r="Z16" s="476">
        <f>L16-W16</f>
        <v>1499.9999999999995</v>
      </c>
      <c r="AA16" s="475">
        <f>IF(OR(M16="",X16=""),0,M16-X16)</f>
        <v>4.2766499999999983</v>
      </c>
    </row>
    <row r="17" spans="2:27">
      <c r="B17" s="89" t="s">
        <v>13</v>
      </c>
      <c r="C17" s="238"/>
      <c r="D17" s="237">
        <f>SUM(D18:D37)</f>
        <v>0</v>
      </c>
      <c r="E17" s="236"/>
      <c r="F17" s="238"/>
      <c r="G17" s="237">
        <f>SUM(G18:G37)</f>
        <v>0</v>
      </c>
      <c r="H17" s="236"/>
      <c r="I17" s="236"/>
      <c r="J17" s="338">
        <f>SUM(J18:J37)</f>
        <v>0</v>
      </c>
      <c r="K17" s="338">
        <f>SUM(K18:K37)</f>
        <v>0</v>
      </c>
      <c r="L17" s="338">
        <f>SUM(L18:L37)</f>
        <v>0</v>
      </c>
      <c r="M17" s="180">
        <f>SUM(M18:M37)</f>
        <v>0</v>
      </c>
      <c r="N17" s="236"/>
      <c r="O17" s="237">
        <f>SUM(O18:O37)</f>
        <v>0</v>
      </c>
      <c r="P17" s="236"/>
      <c r="Q17" s="236"/>
      <c r="R17" s="237">
        <f>SUM(R18:R37)</f>
        <v>0</v>
      </c>
      <c r="S17" s="236"/>
      <c r="T17" s="236"/>
      <c r="U17" s="338">
        <f>SUM(U18:U37)</f>
        <v>0</v>
      </c>
      <c r="V17" s="338">
        <f t="shared" ref="V17:AA17" si="0">SUM(V18:V37)</f>
        <v>0</v>
      </c>
      <c r="W17" s="338">
        <f t="shared" si="0"/>
        <v>0</v>
      </c>
      <c r="X17" s="180">
        <f t="shared" si="0"/>
        <v>0</v>
      </c>
      <c r="Y17" s="324">
        <f t="shared" si="0"/>
        <v>0</v>
      </c>
      <c r="Z17" s="324">
        <f t="shared" si="0"/>
        <v>0</v>
      </c>
      <c r="AA17" s="339">
        <f t="shared" si="0"/>
        <v>0</v>
      </c>
    </row>
    <row r="18" spans="2:27">
      <c r="B18" s="59" t="s">
        <v>122</v>
      </c>
      <c r="C18" s="10"/>
      <c r="D18" s="1"/>
      <c r="E18" s="3"/>
      <c r="F18" s="3"/>
      <c r="G18" s="3"/>
      <c r="H18" s="3"/>
      <c r="I18" s="3"/>
      <c r="J18" s="282">
        <f t="shared" ref="J18:J37" si="1">H18*I18</f>
        <v>0</v>
      </c>
      <c r="K18" s="282">
        <f t="shared" ref="K18:K37" si="2">E18*G18*J18</f>
        <v>0</v>
      </c>
      <c r="L18" s="282">
        <f t="shared" ref="L18:L37" si="3">F18*G18*J18</f>
        <v>0</v>
      </c>
      <c r="M18" s="33">
        <f>IF(OR($E$9="",K18="",L18=""),0,K18*係数!$I$30+L18*$E$9)</f>
        <v>0</v>
      </c>
      <c r="N18" s="10"/>
      <c r="O18" s="1"/>
      <c r="P18" s="3"/>
      <c r="Q18" s="3"/>
      <c r="R18" s="3"/>
      <c r="S18" s="3"/>
      <c r="T18" s="3"/>
      <c r="U18" s="282">
        <f>S18*T18</f>
        <v>0</v>
      </c>
      <c r="V18" s="282">
        <f t="shared" ref="V18:V37" si="4">P18*R18*U18</f>
        <v>0</v>
      </c>
      <c r="W18" s="282">
        <f t="shared" ref="W18:W37" si="5">Q18*R18*U18</f>
        <v>0</v>
      </c>
      <c r="X18" s="33">
        <f>IF(OR($E$9="",V18="",W18=""),0,V18*係数!$I$30+W18*$E$9)</f>
        <v>0</v>
      </c>
      <c r="Y18" s="327">
        <f t="shared" ref="Y18:Z37" si="6">K18-V18</f>
        <v>0</v>
      </c>
      <c r="Z18" s="327">
        <f t="shared" si="6"/>
        <v>0</v>
      </c>
      <c r="AA18" s="336">
        <f t="shared" ref="AA18:AA37" si="7">IF(OR(M18="",X18=""),0,M18-X18)</f>
        <v>0</v>
      </c>
    </row>
    <row r="19" spans="2:27">
      <c r="B19" s="59" t="s">
        <v>123</v>
      </c>
      <c r="C19" s="10"/>
      <c r="D19" s="1"/>
      <c r="E19" s="3"/>
      <c r="F19" s="3"/>
      <c r="G19" s="3"/>
      <c r="H19" s="3"/>
      <c r="I19" s="3"/>
      <c r="J19" s="282">
        <f t="shared" si="1"/>
        <v>0</v>
      </c>
      <c r="K19" s="282">
        <f t="shared" si="2"/>
        <v>0</v>
      </c>
      <c r="L19" s="282">
        <f t="shared" si="3"/>
        <v>0</v>
      </c>
      <c r="M19" s="33">
        <f>IF(OR($E$9="",K19="",L19=""),0,K19*係数!$I$30+L19*$E$9)</f>
        <v>0</v>
      </c>
      <c r="N19" s="10"/>
      <c r="O19" s="1"/>
      <c r="P19" s="3"/>
      <c r="Q19" s="3"/>
      <c r="R19" s="3"/>
      <c r="S19" s="3"/>
      <c r="T19" s="3"/>
      <c r="U19" s="282">
        <f t="shared" ref="U19:U37" si="8">S19*T19</f>
        <v>0</v>
      </c>
      <c r="V19" s="282">
        <f t="shared" si="4"/>
        <v>0</v>
      </c>
      <c r="W19" s="282">
        <f t="shared" si="5"/>
        <v>0</v>
      </c>
      <c r="X19" s="33">
        <f>IF(OR($E$9="",V19="",W19=""),0,V19*係数!$I$30+W19*$E$9)</f>
        <v>0</v>
      </c>
      <c r="Y19" s="327">
        <f t="shared" si="6"/>
        <v>0</v>
      </c>
      <c r="Z19" s="327">
        <f t="shared" si="6"/>
        <v>0</v>
      </c>
      <c r="AA19" s="336">
        <f t="shared" si="7"/>
        <v>0</v>
      </c>
    </row>
    <row r="20" spans="2:27">
      <c r="B20" s="59" t="s">
        <v>124</v>
      </c>
      <c r="C20" s="10"/>
      <c r="D20" s="1"/>
      <c r="E20" s="3"/>
      <c r="F20" s="3"/>
      <c r="G20" s="3"/>
      <c r="H20" s="3"/>
      <c r="I20" s="3"/>
      <c r="J20" s="282">
        <f t="shared" si="1"/>
        <v>0</v>
      </c>
      <c r="K20" s="282">
        <f t="shared" si="2"/>
        <v>0</v>
      </c>
      <c r="L20" s="282">
        <f t="shared" si="3"/>
        <v>0</v>
      </c>
      <c r="M20" s="33">
        <f>IF(OR($E$9="",K20="",L20=""),0,K20*係数!$I$30+L20*$E$9)</f>
        <v>0</v>
      </c>
      <c r="N20" s="10"/>
      <c r="O20" s="1"/>
      <c r="P20" s="3"/>
      <c r="Q20" s="3"/>
      <c r="R20" s="3"/>
      <c r="S20" s="3"/>
      <c r="T20" s="3"/>
      <c r="U20" s="282">
        <f t="shared" si="8"/>
        <v>0</v>
      </c>
      <c r="V20" s="282">
        <f t="shared" si="4"/>
        <v>0</v>
      </c>
      <c r="W20" s="282">
        <f t="shared" si="5"/>
        <v>0</v>
      </c>
      <c r="X20" s="33">
        <f>IF(OR($E$9="",V20="",W20=""),0,V20*係数!$I$30+W20*$E$9)</f>
        <v>0</v>
      </c>
      <c r="Y20" s="327">
        <f t="shared" si="6"/>
        <v>0</v>
      </c>
      <c r="Z20" s="327">
        <f t="shared" si="6"/>
        <v>0</v>
      </c>
      <c r="AA20" s="336">
        <f t="shared" si="7"/>
        <v>0</v>
      </c>
    </row>
    <row r="21" spans="2:27">
      <c r="B21" s="59" t="s">
        <v>125</v>
      </c>
      <c r="C21" s="10"/>
      <c r="D21" s="1"/>
      <c r="E21" s="3"/>
      <c r="F21" s="3"/>
      <c r="G21" s="3"/>
      <c r="H21" s="3"/>
      <c r="I21" s="3"/>
      <c r="J21" s="282">
        <f t="shared" si="1"/>
        <v>0</v>
      </c>
      <c r="K21" s="282">
        <f t="shared" si="2"/>
        <v>0</v>
      </c>
      <c r="L21" s="282">
        <f t="shared" si="3"/>
        <v>0</v>
      </c>
      <c r="M21" s="33">
        <f>IF(OR($E$9="",K21="",L21=""),0,K21*係数!$I$30+L21*$E$9)</f>
        <v>0</v>
      </c>
      <c r="N21" s="10"/>
      <c r="O21" s="10"/>
      <c r="P21" s="3"/>
      <c r="Q21" s="3"/>
      <c r="R21" s="3"/>
      <c r="S21" s="3"/>
      <c r="T21" s="3"/>
      <c r="U21" s="282">
        <f t="shared" si="8"/>
        <v>0</v>
      </c>
      <c r="V21" s="282">
        <f t="shared" si="4"/>
        <v>0</v>
      </c>
      <c r="W21" s="282">
        <f t="shared" si="5"/>
        <v>0</v>
      </c>
      <c r="X21" s="33">
        <f>IF(OR($E$9="",V21="",W21=""),0,V21*係数!$I$30+W21*$E$9)</f>
        <v>0</v>
      </c>
      <c r="Y21" s="327">
        <f t="shared" si="6"/>
        <v>0</v>
      </c>
      <c r="Z21" s="327">
        <f t="shared" si="6"/>
        <v>0</v>
      </c>
      <c r="AA21" s="336">
        <f t="shared" si="7"/>
        <v>0</v>
      </c>
    </row>
    <row r="22" spans="2:27">
      <c r="B22" s="59" t="s">
        <v>126</v>
      </c>
      <c r="C22" s="10"/>
      <c r="D22" s="1"/>
      <c r="E22" s="3"/>
      <c r="F22" s="3"/>
      <c r="G22" s="3"/>
      <c r="H22" s="3"/>
      <c r="I22" s="3"/>
      <c r="J22" s="282">
        <f t="shared" si="1"/>
        <v>0</v>
      </c>
      <c r="K22" s="282">
        <f t="shared" si="2"/>
        <v>0</v>
      </c>
      <c r="L22" s="282">
        <f t="shared" si="3"/>
        <v>0</v>
      </c>
      <c r="M22" s="33">
        <f>IF(OR($E$9="",K22="",L22=""),0,K22*係数!$I$30+L22*$E$9)</f>
        <v>0</v>
      </c>
      <c r="N22" s="10"/>
      <c r="O22" s="10"/>
      <c r="P22" s="3"/>
      <c r="Q22" s="3"/>
      <c r="R22" s="3"/>
      <c r="S22" s="3"/>
      <c r="T22" s="3"/>
      <c r="U22" s="282">
        <f t="shared" si="8"/>
        <v>0</v>
      </c>
      <c r="V22" s="282">
        <f t="shared" si="4"/>
        <v>0</v>
      </c>
      <c r="W22" s="282">
        <f t="shared" si="5"/>
        <v>0</v>
      </c>
      <c r="X22" s="33">
        <f>IF(OR($E$9="",V22="",W22=""),0,V22*係数!$I$30+W22*$E$9)</f>
        <v>0</v>
      </c>
      <c r="Y22" s="327">
        <f t="shared" si="6"/>
        <v>0</v>
      </c>
      <c r="Z22" s="327">
        <f t="shared" si="6"/>
        <v>0</v>
      </c>
      <c r="AA22" s="336">
        <f t="shared" si="7"/>
        <v>0</v>
      </c>
    </row>
    <row r="23" spans="2:27">
      <c r="B23" s="59" t="s">
        <v>127</v>
      </c>
      <c r="C23" s="10"/>
      <c r="D23" s="1"/>
      <c r="E23" s="3"/>
      <c r="F23" s="3"/>
      <c r="G23" s="3"/>
      <c r="H23" s="3"/>
      <c r="I23" s="3"/>
      <c r="J23" s="282">
        <f t="shared" si="1"/>
        <v>0</v>
      </c>
      <c r="K23" s="282">
        <f t="shared" si="2"/>
        <v>0</v>
      </c>
      <c r="L23" s="282">
        <f t="shared" si="3"/>
        <v>0</v>
      </c>
      <c r="M23" s="33">
        <f>IF(OR($E$9="",K23="",L23=""),0,K23*係数!$I$30+L23*$E$9)</f>
        <v>0</v>
      </c>
      <c r="N23" s="10"/>
      <c r="O23" s="10"/>
      <c r="P23" s="3"/>
      <c r="Q23" s="3"/>
      <c r="R23" s="3"/>
      <c r="S23" s="3"/>
      <c r="T23" s="3"/>
      <c r="U23" s="282">
        <f t="shared" si="8"/>
        <v>0</v>
      </c>
      <c r="V23" s="282">
        <f t="shared" si="4"/>
        <v>0</v>
      </c>
      <c r="W23" s="282">
        <f t="shared" si="5"/>
        <v>0</v>
      </c>
      <c r="X23" s="33">
        <f>IF(OR($E$9="",V23="",W23=""),0,V23*係数!$I$30+W23*$E$9)</f>
        <v>0</v>
      </c>
      <c r="Y23" s="327">
        <f t="shared" si="6"/>
        <v>0</v>
      </c>
      <c r="Z23" s="327">
        <f t="shared" si="6"/>
        <v>0</v>
      </c>
      <c r="AA23" s="336">
        <f t="shared" si="7"/>
        <v>0</v>
      </c>
    </row>
    <row r="24" spans="2:27">
      <c r="B24" s="59" t="s">
        <v>128</v>
      </c>
      <c r="C24" s="10"/>
      <c r="D24" s="1"/>
      <c r="E24" s="3"/>
      <c r="F24" s="3"/>
      <c r="G24" s="3"/>
      <c r="H24" s="3"/>
      <c r="I24" s="3"/>
      <c r="J24" s="282">
        <f t="shared" si="1"/>
        <v>0</v>
      </c>
      <c r="K24" s="282">
        <f t="shared" si="2"/>
        <v>0</v>
      </c>
      <c r="L24" s="282">
        <f t="shared" si="3"/>
        <v>0</v>
      </c>
      <c r="M24" s="33">
        <f>IF(OR($E$9="",K24="",L24=""),0,K24*係数!$I$30+L24*$E$9)</f>
        <v>0</v>
      </c>
      <c r="N24" s="10"/>
      <c r="O24" s="10"/>
      <c r="P24" s="3"/>
      <c r="Q24" s="3"/>
      <c r="R24" s="3"/>
      <c r="S24" s="3"/>
      <c r="T24" s="3"/>
      <c r="U24" s="282">
        <f t="shared" si="8"/>
        <v>0</v>
      </c>
      <c r="V24" s="282">
        <f t="shared" si="4"/>
        <v>0</v>
      </c>
      <c r="W24" s="282">
        <f t="shared" si="5"/>
        <v>0</v>
      </c>
      <c r="X24" s="33">
        <f>IF(OR($E$9="",V24="",W24=""),0,V24*係数!$I$30+W24*$E$9)</f>
        <v>0</v>
      </c>
      <c r="Y24" s="327">
        <f t="shared" si="6"/>
        <v>0</v>
      </c>
      <c r="Z24" s="327">
        <f t="shared" si="6"/>
        <v>0</v>
      </c>
      <c r="AA24" s="336">
        <f t="shared" si="7"/>
        <v>0</v>
      </c>
    </row>
    <row r="25" spans="2:27">
      <c r="B25" s="59" t="s">
        <v>129</v>
      </c>
      <c r="C25" s="10"/>
      <c r="D25" s="1"/>
      <c r="E25" s="3"/>
      <c r="F25" s="3"/>
      <c r="G25" s="3"/>
      <c r="H25" s="3"/>
      <c r="I25" s="3"/>
      <c r="J25" s="282">
        <f t="shared" si="1"/>
        <v>0</v>
      </c>
      <c r="K25" s="282">
        <f t="shared" si="2"/>
        <v>0</v>
      </c>
      <c r="L25" s="282">
        <f t="shared" si="3"/>
        <v>0</v>
      </c>
      <c r="M25" s="33">
        <f>IF(OR($E$9="",K25="",L25=""),0,K25*係数!$I$30+L25*$E$9)</f>
        <v>0</v>
      </c>
      <c r="N25" s="10"/>
      <c r="O25" s="10"/>
      <c r="P25" s="3"/>
      <c r="Q25" s="3"/>
      <c r="R25" s="3"/>
      <c r="S25" s="3"/>
      <c r="T25" s="3"/>
      <c r="U25" s="282">
        <f t="shared" si="8"/>
        <v>0</v>
      </c>
      <c r="V25" s="282">
        <f t="shared" si="4"/>
        <v>0</v>
      </c>
      <c r="W25" s="282">
        <f t="shared" si="5"/>
        <v>0</v>
      </c>
      <c r="X25" s="33">
        <f>IF(OR($E$9="",V25="",W25=""),0,V25*係数!$I$30+W25*$E$9)</f>
        <v>0</v>
      </c>
      <c r="Y25" s="327">
        <f t="shared" si="6"/>
        <v>0</v>
      </c>
      <c r="Z25" s="327">
        <f t="shared" si="6"/>
        <v>0</v>
      </c>
      <c r="AA25" s="336">
        <f t="shared" si="7"/>
        <v>0</v>
      </c>
    </row>
    <row r="26" spans="2:27">
      <c r="B26" s="59" t="s">
        <v>130</v>
      </c>
      <c r="C26" s="10"/>
      <c r="D26" s="1"/>
      <c r="E26" s="3"/>
      <c r="F26" s="3"/>
      <c r="G26" s="3"/>
      <c r="H26" s="3"/>
      <c r="I26" s="3"/>
      <c r="J26" s="282">
        <f t="shared" si="1"/>
        <v>0</v>
      </c>
      <c r="K26" s="282">
        <f t="shared" si="2"/>
        <v>0</v>
      </c>
      <c r="L26" s="282">
        <f t="shared" si="3"/>
        <v>0</v>
      </c>
      <c r="M26" s="33">
        <f>IF(OR($E$9="",K26="",L26=""),0,K26*係数!$I$30+L26*$E$9)</f>
        <v>0</v>
      </c>
      <c r="N26" s="10"/>
      <c r="O26" s="10"/>
      <c r="P26" s="3"/>
      <c r="Q26" s="3"/>
      <c r="R26" s="3"/>
      <c r="S26" s="3"/>
      <c r="T26" s="3"/>
      <c r="U26" s="282">
        <f t="shared" si="8"/>
        <v>0</v>
      </c>
      <c r="V26" s="282">
        <f t="shared" si="4"/>
        <v>0</v>
      </c>
      <c r="W26" s="282">
        <f t="shared" si="5"/>
        <v>0</v>
      </c>
      <c r="X26" s="33">
        <f>IF(OR($E$9="",V26="",W26=""),0,V26*係数!$I$30+W26*$E$9)</f>
        <v>0</v>
      </c>
      <c r="Y26" s="327">
        <f t="shared" si="6"/>
        <v>0</v>
      </c>
      <c r="Z26" s="327">
        <f t="shared" si="6"/>
        <v>0</v>
      </c>
      <c r="AA26" s="336">
        <f t="shared" si="7"/>
        <v>0</v>
      </c>
    </row>
    <row r="27" spans="2:27">
      <c r="B27" s="59" t="s">
        <v>131</v>
      </c>
      <c r="C27" s="10"/>
      <c r="D27" s="1"/>
      <c r="E27" s="3"/>
      <c r="F27" s="3"/>
      <c r="G27" s="3"/>
      <c r="H27" s="3"/>
      <c r="I27" s="3"/>
      <c r="J27" s="282">
        <f t="shared" si="1"/>
        <v>0</v>
      </c>
      <c r="K27" s="282">
        <f t="shared" si="2"/>
        <v>0</v>
      </c>
      <c r="L27" s="282">
        <f t="shared" si="3"/>
        <v>0</v>
      </c>
      <c r="M27" s="33">
        <f>IF(OR($E$9="",K27="",L27=""),0,K27*係数!$I$30+L27*$E$9)</f>
        <v>0</v>
      </c>
      <c r="N27" s="10"/>
      <c r="O27" s="10"/>
      <c r="P27" s="3"/>
      <c r="Q27" s="3"/>
      <c r="R27" s="3"/>
      <c r="S27" s="3"/>
      <c r="T27" s="3"/>
      <c r="U27" s="282">
        <f t="shared" si="8"/>
        <v>0</v>
      </c>
      <c r="V27" s="282">
        <f t="shared" si="4"/>
        <v>0</v>
      </c>
      <c r="W27" s="282">
        <f t="shared" si="5"/>
        <v>0</v>
      </c>
      <c r="X27" s="33">
        <f>IF(OR($E$9="",V27="",W27=""),0,V27*係数!$I$30+W27*$E$9)</f>
        <v>0</v>
      </c>
      <c r="Y27" s="327">
        <f t="shared" si="6"/>
        <v>0</v>
      </c>
      <c r="Z27" s="327">
        <f t="shared" si="6"/>
        <v>0</v>
      </c>
      <c r="AA27" s="336">
        <f t="shared" si="7"/>
        <v>0</v>
      </c>
    </row>
    <row r="28" spans="2:27">
      <c r="B28" s="59" t="s">
        <v>132</v>
      </c>
      <c r="C28" s="10"/>
      <c r="D28" s="1"/>
      <c r="E28" s="3"/>
      <c r="F28" s="3"/>
      <c r="G28" s="3"/>
      <c r="H28" s="3"/>
      <c r="I28" s="3"/>
      <c r="J28" s="282">
        <f t="shared" si="1"/>
        <v>0</v>
      </c>
      <c r="K28" s="282">
        <f t="shared" si="2"/>
        <v>0</v>
      </c>
      <c r="L28" s="282">
        <f t="shared" si="3"/>
        <v>0</v>
      </c>
      <c r="M28" s="33">
        <f>IF(OR($E$9="",K28="",L28=""),0,K28*係数!$I$30+L28*$E$9)</f>
        <v>0</v>
      </c>
      <c r="N28" s="10"/>
      <c r="O28" s="10"/>
      <c r="P28" s="3"/>
      <c r="Q28" s="3"/>
      <c r="R28" s="3"/>
      <c r="S28" s="3"/>
      <c r="T28" s="3"/>
      <c r="U28" s="282">
        <f t="shared" si="8"/>
        <v>0</v>
      </c>
      <c r="V28" s="282">
        <f t="shared" si="4"/>
        <v>0</v>
      </c>
      <c r="W28" s="282">
        <f t="shared" si="5"/>
        <v>0</v>
      </c>
      <c r="X28" s="33">
        <f>IF(OR($E$9="",V28="",W28=""),0,V28*係数!$I$30+W28*$E$9)</f>
        <v>0</v>
      </c>
      <c r="Y28" s="327">
        <f t="shared" si="6"/>
        <v>0</v>
      </c>
      <c r="Z28" s="327">
        <f t="shared" si="6"/>
        <v>0</v>
      </c>
      <c r="AA28" s="336">
        <f t="shared" si="7"/>
        <v>0</v>
      </c>
    </row>
    <row r="29" spans="2:27">
      <c r="B29" s="59" t="s">
        <v>133</v>
      </c>
      <c r="C29" s="10"/>
      <c r="D29" s="1"/>
      <c r="E29" s="3"/>
      <c r="F29" s="3"/>
      <c r="G29" s="3"/>
      <c r="H29" s="3"/>
      <c r="I29" s="3"/>
      <c r="J29" s="282">
        <f t="shared" si="1"/>
        <v>0</v>
      </c>
      <c r="K29" s="282">
        <f t="shared" si="2"/>
        <v>0</v>
      </c>
      <c r="L29" s="282">
        <f t="shared" si="3"/>
        <v>0</v>
      </c>
      <c r="M29" s="33">
        <f>IF(OR($E$9="",K29="",L29=""),0,K29*係数!$I$30+L29*$E$9)</f>
        <v>0</v>
      </c>
      <c r="N29" s="10"/>
      <c r="O29" s="10"/>
      <c r="P29" s="3"/>
      <c r="Q29" s="3"/>
      <c r="R29" s="3"/>
      <c r="S29" s="3"/>
      <c r="T29" s="3"/>
      <c r="U29" s="282">
        <f t="shared" si="8"/>
        <v>0</v>
      </c>
      <c r="V29" s="282">
        <f t="shared" si="4"/>
        <v>0</v>
      </c>
      <c r="W29" s="282">
        <f t="shared" si="5"/>
        <v>0</v>
      </c>
      <c r="X29" s="33">
        <f>IF(OR($E$9="",V29="",W29=""),0,V29*係数!$I$30+W29*$E$9)</f>
        <v>0</v>
      </c>
      <c r="Y29" s="327">
        <f t="shared" si="6"/>
        <v>0</v>
      </c>
      <c r="Z29" s="327">
        <f t="shared" si="6"/>
        <v>0</v>
      </c>
      <c r="AA29" s="336">
        <f t="shared" si="7"/>
        <v>0</v>
      </c>
    </row>
    <row r="30" spans="2:27">
      <c r="B30" s="59" t="s">
        <v>134</v>
      </c>
      <c r="C30" s="10"/>
      <c r="D30" s="1"/>
      <c r="E30" s="3"/>
      <c r="F30" s="3"/>
      <c r="G30" s="3"/>
      <c r="H30" s="3"/>
      <c r="I30" s="3"/>
      <c r="J30" s="282">
        <f t="shared" si="1"/>
        <v>0</v>
      </c>
      <c r="K30" s="282">
        <f t="shared" si="2"/>
        <v>0</v>
      </c>
      <c r="L30" s="282">
        <f t="shared" si="3"/>
        <v>0</v>
      </c>
      <c r="M30" s="33">
        <f>IF(OR($E$9="",K30="",L30=""),0,K30*係数!$I$30+L30*$E$9)</f>
        <v>0</v>
      </c>
      <c r="N30" s="10"/>
      <c r="O30" s="10"/>
      <c r="P30" s="3"/>
      <c r="Q30" s="3"/>
      <c r="R30" s="3"/>
      <c r="S30" s="3"/>
      <c r="T30" s="3"/>
      <c r="U30" s="282">
        <f t="shared" si="8"/>
        <v>0</v>
      </c>
      <c r="V30" s="282">
        <f t="shared" si="4"/>
        <v>0</v>
      </c>
      <c r="W30" s="282">
        <f t="shared" si="5"/>
        <v>0</v>
      </c>
      <c r="X30" s="33">
        <f>IF(OR($E$9="",V30="",W30=""),0,V30*係数!$I$30+W30*$E$9)</f>
        <v>0</v>
      </c>
      <c r="Y30" s="327">
        <f t="shared" si="6"/>
        <v>0</v>
      </c>
      <c r="Z30" s="327">
        <f t="shared" si="6"/>
        <v>0</v>
      </c>
      <c r="AA30" s="336">
        <f t="shared" si="7"/>
        <v>0</v>
      </c>
    </row>
    <row r="31" spans="2:27">
      <c r="B31" s="59" t="s">
        <v>135</v>
      </c>
      <c r="C31" s="10"/>
      <c r="D31" s="1"/>
      <c r="E31" s="3"/>
      <c r="F31" s="3"/>
      <c r="G31" s="3"/>
      <c r="H31" s="3"/>
      <c r="I31" s="3"/>
      <c r="J31" s="282">
        <f t="shared" si="1"/>
        <v>0</v>
      </c>
      <c r="K31" s="282">
        <f t="shared" si="2"/>
        <v>0</v>
      </c>
      <c r="L31" s="282">
        <f t="shared" si="3"/>
        <v>0</v>
      </c>
      <c r="M31" s="33">
        <f>IF(OR($E$9="",K31="",L31=""),0,K31*係数!$I$30+L31*$E$9)</f>
        <v>0</v>
      </c>
      <c r="N31" s="10"/>
      <c r="O31" s="10"/>
      <c r="P31" s="3"/>
      <c r="Q31" s="3"/>
      <c r="R31" s="3"/>
      <c r="S31" s="3"/>
      <c r="T31" s="3"/>
      <c r="U31" s="282">
        <f t="shared" si="8"/>
        <v>0</v>
      </c>
      <c r="V31" s="282">
        <f t="shared" si="4"/>
        <v>0</v>
      </c>
      <c r="W31" s="282">
        <f t="shared" si="5"/>
        <v>0</v>
      </c>
      <c r="X31" s="33">
        <f>IF(OR($E$9="",V31="",W31=""),0,V31*係数!$I$30+W31*$E$9)</f>
        <v>0</v>
      </c>
      <c r="Y31" s="327">
        <f t="shared" si="6"/>
        <v>0</v>
      </c>
      <c r="Z31" s="327">
        <f t="shared" si="6"/>
        <v>0</v>
      </c>
      <c r="AA31" s="336">
        <f t="shared" si="7"/>
        <v>0</v>
      </c>
    </row>
    <row r="32" spans="2:27">
      <c r="B32" s="59" t="s">
        <v>136</v>
      </c>
      <c r="C32" s="10"/>
      <c r="D32" s="1"/>
      <c r="E32" s="3"/>
      <c r="F32" s="3"/>
      <c r="G32" s="3"/>
      <c r="H32" s="3"/>
      <c r="I32" s="3"/>
      <c r="J32" s="282">
        <f t="shared" si="1"/>
        <v>0</v>
      </c>
      <c r="K32" s="282">
        <f t="shared" si="2"/>
        <v>0</v>
      </c>
      <c r="L32" s="282">
        <f t="shared" si="3"/>
        <v>0</v>
      </c>
      <c r="M32" s="33">
        <f>IF(OR($E$9="",K32="",L32=""),0,K32*係数!$I$30+L32*$E$9)</f>
        <v>0</v>
      </c>
      <c r="N32" s="10"/>
      <c r="O32" s="10"/>
      <c r="P32" s="3"/>
      <c r="Q32" s="3"/>
      <c r="R32" s="3"/>
      <c r="S32" s="3"/>
      <c r="T32" s="3"/>
      <c r="U32" s="282">
        <f t="shared" si="8"/>
        <v>0</v>
      </c>
      <c r="V32" s="282">
        <f t="shared" si="4"/>
        <v>0</v>
      </c>
      <c r="W32" s="282">
        <f t="shared" si="5"/>
        <v>0</v>
      </c>
      <c r="X32" s="33">
        <f>IF(OR($E$9="",V32="",W32=""),0,V32*係数!$I$30+W32*$E$9)</f>
        <v>0</v>
      </c>
      <c r="Y32" s="327">
        <f t="shared" si="6"/>
        <v>0</v>
      </c>
      <c r="Z32" s="327">
        <f t="shared" si="6"/>
        <v>0</v>
      </c>
      <c r="AA32" s="336">
        <f t="shared" si="7"/>
        <v>0</v>
      </c>
    </row>
    <row r="33" spans="2:27">
      <c r="B33" s="59" t="s">
        <v>140</v>
      </c>
      <c r="C33" s="10"/>
      <c r="D33" s="10"/>
      <c r="E33" s="3"/>
      <c r="F33" s="3"/>
      <c r="G33" s="3"/>
      <c r="H33" s="3"/>
      <c r="I33" s="3"/>
      <c r="J33" s="282">
        <f t="shared" si="1"/>
        <v>0</v>
      </c>
      <c r="K33" s="282">
        <f t="shared" si="2"/>
        <v>0</v>
      </c>
      <c r="L33" s="282">
        <f t="shared" si="3"/>
        <v>0</v>
      </c>
      <c r="M33" s="33">
        <f>IF(OR($E$9="",K33="",L33=""),0,K33*係数!$I$30+L33*$E$9)</f>
        <v>0</v>
      </c>
      <c r="N33" s="10"/>
      <c r="O33" s="10"/>
      <c r="P33" s="3"/>
      <c r="Q33" s="3"/>
      <c r="R33" s="3"/>
      <c r="S33" s="3"/>
      <c r="T33" s="3"/>
      <c r="U33" s="282">
        <f t="shared" si="8"/>
        <v>0</v>
      </c>
      <c r="V33" s="282">
        <f t="shared" si="4"/>
        <v>0</v>
      </c>
      <c r="W33" s="282">
        <f t="shared" si="5"/>
        <v>0</v>
      </c>
      <c r="X33" s="33">
        <f>IF(OR($E$9="",V33="",W33=""),0,V33*係数!$I$30+W33*$E$9)</f>
        <v>0</v>
      </c>
      <c r="Y33" s="327">
        <f t="shared" si="6"/>
        <v>0</v>
      </c>
      <c r="Z33" s="327">
        <f t="shared" si="6"/>
        <v>0</v>
      </c>
      <c r="AA33" s="336">
        <f t="shared" si="7"/>
        <v>0</v>
      </c>
    </row>
    <row r="34" spans="2:27">
      <c r="B34" s="59" t="s">
        <v>141</v>
      </c>
      <c r="C34" s="10"/>
      <c r="D34" s="10"/>
      <c r="E34" s="3"/>
      <c r="F34" s="3"/>
      <c r="G34" s="3"/>
      <c r="H34" s="3"/>
      <c r="I34" s="3"/>
      <c r="J34" s="282">
        <f t="shared" si="1"/>
        <v>0</v>
      </c>
      <c r="K34" s="282">
        <f t="shared" si="2"/>
        <v>0</v>
      </c>
      <c r="L34" s="282">
        <f t="shared" si="3"/>
        <v>0</v>
      </c>
      <c r="M34" s="33">
        <f>IF(OR($E$9="",K34="",L34=""),0,K34*係数!$I$30+L34*$E$9)</f>
        <v>0</v>
      </c>
      <c r="N34" s="10"/>
      <c r="O34" s="10"/>
      <c r="P34" s="3"/>
      <c r="Q34" s="3"/>
      <c r="R34" s="3"/>
      <c r="S34" s="3"/>
      <c r="T34" s="3"/>
      <c r="U34" s="282">
        <f t="shared" si="8"/>
        <v>0</v>
      </c>
      <c r="V34" s="282">
        <f t="shared" si="4"/>
        <v>0</v>
      </c>
      <c r="W34" s="282">
        <f t="shared" si="5"/>
        <v>0</v>
      </c>
      <c r="X34" s="33">
        <f>IF(OR($E$9="",V34="",W34=""),0,V34*係数!$I$30+W34*$E$9)</f>
        <v>0</v>
      </c>
      <c r="Y34" s="327">
        <f t="shared" si="6"/>
        <v>0</v>
      </c>
      <c r="Z34" s="327">
        <f t="shared" si="6"/>
        <v>0</v>
      </c>
      <c r="AA34" s="336">
        <f t="shared" si="7"/>
        <v>0</v>
      </c>
    </row>
    <row r="35" spans="2:27">
      <c r="B35" s="59" t="s">
        <v>142</v>
      </c>
      <c r="C35" s="10"/>
      <c r="D35" s="10"/>
      <c r="E35" s="3"/>
      <c r="F35" s="3"/>
      <c r="G35" s="3"/>
      <c r="H35" s="3"/>
      <c r="I35" s="3"/>
      <c r="J35" s="282">
        <f t="shared" si="1"/>
        <v>0</v>
      </c>
      <c r="K35" s="282">
        <f t="shared" si="2"/>
        <v>0</v>
      </c>
      <c r="L35" s="282">
        <f t="shared" si="3"/>
        <v>0</v>
      </c>
      <c r="M35" s="33">
        <f>IF(OR($E$9="",K35="",L35=""),0,K35*係数!$I$30+L35*$E$9)</f>
        <v>0</v>
      </c>
      <c r="N35" s="10"/>
      <c r="O35" s="10"/>
      <c r="P35" s="3"/>
      <c r="Q35" s="3"/>
      <c r="R35" s="3"/>
      <c r="S35" s="3"/>
      <c r="T35" s="3"/>
      <c r="U35" s="282">
        <f t="shared" si="8"/>
        <v>0</v>
      </c>
      <c r="V35" s="282">
        <f t="shared" si="4"/>
        <v>0</v>
      </c>
      <c r="W35" s="282">
        <f t="shared" si="5"/>
        <v>0</v>
      </c>
      <c r="X35" s="33">
        <f>IF(OR($E$9="",V35="",W35=""),0,V35*係数!$I$30+W35*$E$9)</f>
        <v>0</v>
      </c>
      <c r="Y35" s="327">
        <f t="shared" si="6"/>
        <v>0</v>
      </c>
      <c r="Z35" s="327">
        <f t="shared" si="6"/>
        <v>0</v>
      </c>
      <c r="AA35" s="336">
        <f t="shared" si="7"/>
        <v>0</v>
      </c>
    </row>
    <row r="36" spans="2:27">
      <c r="B36" s="59" t="s">
        <v>143</v>
      </c>
      <c r="C36" s="10"/>
      <c r="D36" s="10"/>
      <c r="E36" s="3"/>
      <c r="F36" s="3"/>
      <c r="G36" s="3"/>
      <c r="H36" s="3"/>
      <c r="I36" s="3"/>
      <c r="J36" s="282">
        <f t="shared" si="1"/>
        <v>0</v>
      </c>
      <c r="K36" s="282">
        <f t="shared" si="2"/>
        <v>0</v>
      </c>
      <c r="L36" s="282">
        <f t="shared" si="3"/>
        <v>0</v>
      </c>
      <c r="M36" s="33">
        <f>IF(OR($E$9="",K36="",L36=""),0,K36*係数!$I$30+L36*$E$9)</f>
        <v>0</v>
      </c>
      <c r="N36" s="10"/>
      <c r="O36" s="10"/>
      <c r="P36" s="3"/>
      <c r="Q36" s="3"/>
      <c r="R36" s="3"/>
      <c r="S36" s="3"/>
      <c r="T36" s="3"/>
      <c r="U36" s="282">
        <f t="shared" si="8"/>
        <v>0</v>
      </c>
      <c r="V36" s="282">
        <f t="shared" si="4"/>
        <v>0</v>
      </c>
      <c r="W36" s="282">
        <f t="shared" si="5"/>
        <v>0</v>
      </c>
      <c r="X36" s="33">
        <f>IF(OR($E$9="",V36="",W36=""),0,V36*係数!$I$30+W36*$E$9)</f>
        <v>0</v>
      </c>
      <c r="Y36" s="327">
        <f t="shared" si="6"/>
        <v>0</v>
      </c>
      <c r="Z36" s="327">
        <f t="shared" si="6"/>
        <v>0</v>
      </c>
      <c r="AA36" s="336">
        <f t="shared" si="7"/>
        <v>0</v>
      </c>
    </row>
    <row r="37" spans="2:27">
      <c r="B37" s="59" t="s">
        <v>144</v>
      </c>
      <c r="C37" s="10"/>
      <c r="D37" s="10"/>
      <c r="E37" s="3"/>
      <c r="F37" s="3"/>
      <c r="G37" s="3"/>
      <c r="H37" s="3"/>
      <c r="I37" s="3"/>
      <c r="J37" s="282">
        <f t="shared" si="1"/>
        <v>0</v>
      </c>
      <c r="K37" s="282">
        <f t="shared" si="2"/>
        <v>0</v>
      </c>
      <c r="L37" s="282">
        <f t="shared" si="3"/>
        <v>0</v>
      </c>
      <c r="M37" s="33">
        <f>IF(OR($E$9="",K37="",L37=""),0,K37*係数!$I$30+L37*$E$9)</f>
        <v>0</v>
      </c>
      <c r="N37" s="10"/>
      <c r="O37" s="10"/>
      <c r="P37" s="3"/>
      <c r="Q37" s="3"/>
      <c r="R37" s="3"/>
      <c r="S37" s="3"/>
      <c r="T37" s="3"/>
      <c r="U37" s="282">
        <f t="shared" si="8"/>
        <v>0</v>
      </c>
      <c r="V37" s="282">
        <f t="shared" si="4"/>
        <v>0</v>
      </c>
      <c r="W37" s="282">
        <f t="shared" si="5"/>
        <v>0</v>
      </c>
      <c r="X37" s="33">
        <f>IF(OR($E$9="",V37="",W37=""),0,V37*係数!$I$30+W37*$E$9)</f>
        <v>0</v>
      </c>
      <c r="Y37" s="327">
        <f t="shared" si="6"/>
        <v>0</v>
      </c>
      <c r="Z37" s="327">
        <f t="shared" si="6"/>
        <v>0</v>
      </c>
      <c r="AA37" s="336">
        <f t="shared" si="7"/>
        <v>0</v>
      </c>
    </row>
  </sheetData>
  <sheetProtection algorithmName="SHA-512" hashValue="QDmUCaR9E7LUBdfMxWzJp6dJLCt1awfVQe+Td/pRzLUf46vMIoBM6kQvBr80Lu0UIL8Ixm97jQLT541mnxQn4A==" saltValue="6bxY6TlhZxSit4ScperTwA==" spinCount="100000" sheet="1" objects="1" formatCells="0" formatColumns="0" formatRows="0"/>
  <mergeCells count="7">
    <mergeCell ref="D6:E6"/>
    <mergeCell ref="D7:E7"/>
    <mergeCell ref="M3:U3"/>
    <mergeCell ref="M4:U4"/>
    <mergeCell ref="D3:E3"/>
    <mergeCell ref="D4:E4"/>
    <mergeCell ref="D5:E5"/>
  </mergeCells>
  <phoneticPr fontId="8"/>
  <conditionalFormatting sqref="C18:AA37">
    <cfRule type="expression" dxfId="7" priority="2">
      <formula>$D$1="なし"</formula>
    </cfRule>
  </conditionalFormatting>
  <conditionalFormatting sqref="G7:H7">
    <cfRule type="expression" dxfId="6" priority="6">
      <formula>$E$1="なし"</formula>
    </cfRule>
  </conditionalFormatting>
  <conditionalFormatting sqref="G4:J6 D9">
    <cfRule type="expression" dxfId="5" priority="9">
      <formula>$D$1="なし"</formula>
    </cfRule>
  </conditionalFormatting>
  <conditionalFormatting sqref="J7">
    <cfRule type="expression" dxfId="4" priority="8">
      <formula>$E$1="なし"</formula>
    </cfRule>
  </conditionalFormatting>
  <conditionalFormatting sqref="R16">
    <cfRule type="expression" dxfId="3" priority="1">
      <formula>$D$1="なし"</formula>
    </cfRule>
  </conditionalFormatting>
  <dataValidations count="1">
    <dataValidation type="whole" allowBlank="1" showInputMessage="1" showErrorMessage="1" sqref="R18:R37 R16" xr:uid="{00000000-0002-0000-0700-000000000000}">
      <formula1>0</formula1>
      <formula2>G16</formula2>
    </dataValidation>
  </dataValidations>
  <pageMargins left="0.70866141732283472" right="0.70866141732283472" top="0.74803149606299213" bottom="0.74803149606299213" header="0.31496062992125984" footer="0.31496062992125984"/>
  <pageSetup paperSize="8" scale="61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1000000}">
          <x14:formula1>
            <xm:f>係数!$B$3:$B$30</xm:f>
          </x14:formula1>
          <xm:sqref>D9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15</vt:i4>
      </vt:variant>
    </vt:vector>
  </HeadingPairs>
  <TitlesOfParts>
    <vt:vector size="31" baseType="lpstr">
      <vt:lpstr>エネルギー使用量</vt:lpstr>
      <vt:lpstr>照明</vt:lpstr>
      <vt:lpstr>空調</vt:lpstr>
      <vt:lpstr>ボイラー・給湯器</vt:lpstr>
      <vt:lpstr>コンプレッサー</vt:lpstr>
      <vt:lpstr>変圧器</vt:lpstr>
      <vt:lpstr>冷凍冷蔵庫</vt:lpstr>
      <vt:lpstr>ショーケース、ユニットクーラ、冷凍冷蔵ユニット</vt:lpstr>
      <vt:lpstr>その他</vt:lpstr>
      <vt:lpstr>以下は非表示シート→</vt:lpstr>
      <vt:lpstr>係数</vt:lpstr>
      <vt:lpstr>負荷率計算(冷凍冷蔵)</vt:lpstr>
      <vt:lpstr>モーター効率</vt:lpstr>
      <vt:lpstr>空調kcal換算</vt:lpstr>
      <vt:lpstr>出典資料</vt:lpstr>
      <vt:lpstr>更新・修正記録</vt:lpstr>
      <vt:lpstr>エネルギー使用量!Print_Area</vt:lpstr>
      <vt:lpstr>コンプレッサー!Print_Area</vt:lpstr>
      <vt:lpstr>'ショーケース、ユニットクーラ、冷凍冷蔵ユニット'!Print_Area</vt:lpstr>
      <vt:lpstr>その他!Print_Area</vt:lpstr>
      <vt:lpstr>ボイラー・給湯器!Print_Area</vt:lpstr>
      <vt:lpstr>空調!Print_Area</vt:lpstr>
      <vt:lpstr>照明!Print_Area</vt:lpstr>
      <vt:lpstr>変圧器!Print_Area</vt:lpstr>
      <vt:lpstr>冷凍冷蔵庫!Print_Area</vt:lpstr>
      <vt:lpstr>空調!Print_Titles</vt:lpstr>
      <vt:lpstr>照明!Print_Titles</vt:lpstr>
      <vt:lpstr>rangeIE1</vt:lpstr>
      <vt:lpstr>rangeIE2</vt:lpstr>
      <vt:lpstr>rangeIE3</vt:lpstr>
      <vt:lpstr>rangeIE4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egashira</dc:creator>
  <cp:lastModifiedBy>Ozawa</cp:lastModifiedBy>
  <cp:lastPrinted>2026-06-17T02:13:17Z</cp:lastPrinted>
  <dcterms:created xsi:type="dcterms:W3CDTF">2023-04-27T05:58:44Z</dcterms:created>
  <dcterms:modified xsi:type="dcterms:W3CDTF">2026-06-17T02:13:53Z</dcterms:modified>
</cp:coreProperties>
</file>